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Y:\Jhb\Index&amp;StructuredSolutions\1. Structured Products\2024\On-shelf Notes\Out the Market\2024-12 Global Fixed Return and Growth Protector AL15 (1-5)\Finals\"/>
    </mc:Choice>
  </mc:AlternateContent>
  <xr:revisionPtr revIDLastSave="0" documentId="13_ncr:1_{7D185709-2EA8-4F08-90CA-0EE889378997}" xr6:coauthVersionLast="47" xr6:coauthVersionMax="47" xr10:uidLastSave="{00000000-0000-0000-0000-000000000000}"/>
  <bookViews>
    <workbookView xWindow="14295" yWindow="0" windowWidth="14610" windowHeight="15585" activeTab="1" xr2:uid="{00000000-000D-0000-FFFF-FFFF00000000}"/>
  </bookViews>
  <sheets>
    <sheet name="Input" sheetId="2" r:id="rId1"/>
    <sheet name="Output" sheetId="1" r:id="rId2"/>
  </sheets>
  <definedNames>
    <definedName name="_xlnm.Print_Area" localSheetId="0">Input!$A$1:$J$43</definedName>
    <definedName name="_xlnm.Print_Area" localSheetId="1">Output!$A$1:$H$133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2" l="1"/>
  <c r="E31" i="2"/>
  <c r="E33" i="2" l="1"/>
  <c r="G21" i="1"/>
  <c r="C65" i="1" l="1"/>
  <c r="G50" i="1"/>
  <c r="G36" i="1"/>
  <c r="G48" i="1"/>
  <c r="G20" i="1"/>
  <c r="C14" i="1"/>
  <c r="G45" i="1" l="1"/>
  <c r="G35" i="1"/>
  <c r="B8" i="2"/>
  <c r="G22" i="1" l="1"/>
  <c r="G46" i="1"/>
  <c r="C106" i="1"/>
  <c r="C48" i="1"/>
  <c r="C47" i="1"/>
  <c r="G128" i="1" l="1"/>
  <c r="G127" i="1"/>
  <c r="F128" i="1"/>
  <c r="F127" i="1"/>
  <c r="E128" i="1"/>
  <c r="E127" i="1"/>
  <c r="D128" i="1"/>
  <c r="D127" i="1"/>
  <c r="C105" i="1"/>
  <c r="F80" i="1"/>
  <c r="F79" i="1"/>
  <c r="D80" i="1"/>
  <c r="D79" i="1"/>
  <c r="C53" i="1"/>
  <c r="G49" i="1"/>
  <c r="G27" i="1"/>
  <c r="G28" i="1" s="1"/>
  <c r="G26" i="1"/>
  <c r="G25" i="1"/>
  <c r="G18" i="1"/>
  <c r="G19" i="1"/>
  <c r="D42" i="2"/>
  <c r="F81" i="1" s="1"/>
  <c r="C42" i="2"/>
  <c r="E126" i="1" s="1"/>
  <c r="E6" i="2"/>
  <c r="G17" i="1" s="1"/>
  <c r="M3" i="2"/>
  <c r="C120" i="1"/>
  <c r="C119" i="1"/>
  <c r="C118" i="1"/>
  <c r="C117" i="1"/>
  <c r="C109" i="1"/>
  <c r="C108" i="1"/>
  <c r="C107" i="1"/>
  <c r="G47" i="1"/>
  <c r="G44" i="1"/>
  <c r="K19" i="1"/>
  <c r="J19" i="1"/>
  <c r="K15" i="1"/>
  <c r="M4" i="2" l="1"/>
  <c r="D126" i="1"/>
  <c r="D129" i="1" s="1"/>
  <c r="G126" i="1"/>
  <c r="G129" i="1" s="1"/>
  <c r="F126" i="1"/>
  <c r="F129" i="1" s="1"/>
  <c r="D81" i="1"/>
  <c r="E129" i="1"/>
  <c r="G31" i="1" l="1"/>
  <c r="C76" i="1"/>
  <c r="G34" i="1" l="1"/>
  <c r="G37" i="1" s="1"/>
  <c r="G42" i="1"/>
  <c r="G51" i="1" s="1"/>
  <c r="G43" i="1" l="1"/>
</calcChain>
</file>

<file path=xl/sharedStrings.xml><?xml version="1.0" encoding="utf-8"?>
<sst xmlns="http://schemas.openxmlformats.org/spreadsheetml/2006/main" count="166" uniqueCount="150">
  <si>
    <t>Index Growth List</t>
  </si>
  <si>
    <t>FX List</t>
  </si>
  <si>
    <t>Open Date</t>
  </si>
  <si>
    <t>Index Growth</t>
  </si>
  <si>
    <t>Foreign Exchange Rate Movement</t>
  </si>
  <si>
    <t>Close Date</t>
  </si>
  <si>
    <t>Minimum Investment Amount</t>
  </si>
  <si>
    <t>1Y Income Tax</t>
  </si>
  <si>
    <t>The Global Fixed Return and Growth Protector Policy</t>
  </si>
  <si>
    <t>Reference Index</t>
  </si>
  <si>
    <t>Life Company CGT</t>
  </si>
  <si>
    <t>Life Company Hurdle</t>
  </si>
  <si>
    <t>Product Summary</t>
  </si>
  <si>
    <t>The Investment is in the form of a Johannesburg Stock Exchange listed Note issued by Absa Bank Limited and made available to investors through a linked endowment policy in terms of the South African Long-Term Insuarance Act of 1998. For more information about the product features please refer to the product brochure.</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</si>
  <si>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</si>
  <si>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</si>
  <si>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</si>
  <si>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</si>
  <si>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</si>
  <si>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</si>
  <si>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</si>
  <si>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</si>
  <si>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</si>
  <si>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</si>
  <si>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</si>
  <si>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</si>
  <si>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</si>
  <si>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</si>
  <si>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</si>
  <si>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</si>
  <si>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1 Year Fixed Return Leg</t>
  </si>
  <si>
    <t>Net Investment Amount</t>
  </si>
  <si>
    <t>Maturity Date</t>
  </si>
  <si>
    <t>* The net of tax return shown is based on current tax legislation and may be subject to change in future.</t>
  </si>
  <si>
    <t>5 Year Equity Linked Leg</t>
  </si>
  <si>
    <t>Capital Return at Maturity</t>
  </si>
  <si>
    <t>Initial Index Level Date</t>
  </si>
  <si>
    <t>Index Linked Return**</t>
  </si>
  <si>
    <t xml:space="preserve">Index Growth </t>
  </si>
  <si>
    <t xml:space="preserve">** This is a market linked return. The initial capital investment is protected only at the Maturity Date. </t>
  </si>
  <si>
    <t>Important Notes</t>
  </si>
  <si>
    <t>This quote output should be read together with the product brochure.</t>
  </si>
  <si>
    <t xml:space="preserve">2. 50% of capital is protected at the end of 1 year and the balance is protected at the end of 5 years i.e. at policy maturity. </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</si>
  <si>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</si>
  <si>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</si>
  <si>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</si>
  <si>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</si>
  <si>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</si>
  <si>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</si>
  <si>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</si>
  <si>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</si>
  <si>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</si>
  <si>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</si>
  <si>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Should there be no withdrawal prior to the maturity of the one (1) year leg, the full proceeds from this leg will mature.  If you exercise the option to receive the proceeds at this time no further withdrawals can be made from the policy until the end of the 5 year investment term.  If you elect to retain the matured amount inside the policy you will still have the opportunity to exercise your one free withdrawal at any point over the remaining four years.</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</si>
  <si>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</si>
  <si>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</si>
  <si>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</si>
  <si>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</si>
  <si>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</si>
  <si>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</si>
  <si>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</si>
  <si>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</si>
  <si>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</si>
  <si>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</si>
  <si>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</si>
  <si>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</si>
  <si>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</si>
  <si>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</si>
  <si>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</si>
  <si>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</si>
  <si>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</si>
  <si>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</si>
  <si>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</si>
  <si>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</si>
  <si>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</si>
  <si>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</si>
  <si>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</si>
  <si>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</si>
  <si>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</si>
  <si>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</si>
  <si>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</si>
  <si>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</si>
  <si>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</si>
  <si>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The Global Fixed Return &amp; Growth Protector Policy: Quote</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</si>
  <si>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</si>
  <si>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</si>
  <si>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</si>
  <si>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</si>
  <si>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</si>
  <si>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</si>
  <si>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</si>
  <si>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</si>
  <si>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</si>
  <si>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</si>
  <si>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</si>
  <si>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</si>
  <si>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</si>
  <si>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</si>
  <si>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</si>
  <si>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</si>
  <si>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</si>
  <si>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</si>
  <si>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</si>
  <si>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</si>
  <si>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</si>
  <si>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</si>
  <si>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</si>
  <si>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</si>
  <si>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</si>
  <si>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1 yr Maturity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</si>
  <si>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</si>
  <si>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</si>
  <si>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</si>
  <si>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</si>
  <si>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</si>
  <si>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</si>
  <si>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</si>
  <si>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</si>
  <si>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</si>
  <si>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</si>
  <si>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</si>
  <si>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</si>
  <si>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</si>
  <si>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</si>
  <si>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3. The Fixed Return is payable at the end of 1 year while the Index Linked Return will depend on the performance of the Index at the maturity date of the policy.</t>
  </si>
  <si>
    <t>6. Should the index performance be zero or less, then no Index Linked Return will be payable.</t>
  </si>
  <si>
    <t>5. The Index Linked Return is further exposed to the ZAR/USD exchange rate performance. Should ZAR weaken against the USD currency, this will have a positive impact on the Index Linked Return and vice versa if the ZAR strengthens.</t>
  </si>
  <si>
    <t>Depending on the type of policy, insurance companies pay different rates of tax on investment returns. The effective tax rates may also differ between insurance companies, based on their level of expenses. The proceeds from the Fixed Return component may be taxed as income and the proceeds from the Index Return component taxed as capital gains in the hands of the life insurer.</t>
  </si>
  <si>
    <t>1. 50% of capital invested into a 1 year investment paying a Fixed Return. 50% of capital invested into a 5 year Index Linked Return investment.</t>
  </si>
  <si>
    <t>BNP Paribas Multi-asset Global Diversified Index</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</si>
  <si>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</si>
  <si>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Absa Life for the issuance of the policy.</t>
  </si>
  <si>
    <t>Fixed Income Annual Return (Net of tax rate)</t>
  </si>
  <si>
    <t>Fixed Return</t>
  </si>
  <si>
    <t>1 Year Total Fixed Return (Net)</t>
  </si>
  <si>
    <t>1 Year Maturity Value (Net of tax)</t>
  </si>
  <si>
    <t>7. In line with the current tax legislation, returns on the investment policy are taxed in the hands of the life company and the above Fixed Return is net of tax and any Index Linked Returns are gross of tax. Absa Life is therefore required to pay tax on any income, dividends and capital gains tax at a rate which depends on the policyholder's classification for tax purposes.</t>
  </si>
  <si>
    <t>8. Multi-asset linked returns are taxable. Absa Life will calculate tax in accordance with the prevailing legislation.</t>
  </si>
  <si>
    <t>9. Should the policy be surrendered in full before the maturity date, the market value of assets underlying the policy will be payable.</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</si>
  <si>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</si>
  <si>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10. The maturity date of the policy will be five (5) years from the date on which the policy commences, as indicated in the schedule to the policy terms and conditions.</t>
  </si>
  <si>
    <t>11. Bank charges may apply on the transfer of the premium to Absa Life as well as on any amount paid by Absa Life in respect of claims or commission.</t>
  </si>
  <si>
    <t>12. Should you require any further assistance and / or information, please contact your financial adviser.</t>
  </si>
  <si>
    <t>The Global Fixed Return and Growth Protector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</si>
  <si>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</si>
  <si>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LISP for the administration of the policy.</t>
  </si>
  <si>
    <t>Please contact your financial adviser or LISP if you have any queries or would like to redeem your investment.</t>
  </si>
  <si>
    <t xml:space="preserve">b) Administration fee and Investment Wrapper fee payable to a LISP and Absa Life and is paid upfront as a percentage of the investment amount. </t>
  </si>
  <si>
    <t>5 Year Total Return (Gross)</t>
  </si>
  <si>
    <t>5 Year Maturity Value (Gross of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</si>
</sst>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 #,##0_ ;_ * \-#,##0_ ;_ * &quot;-&quot;??_ ;_ @_ "/>
    <numFmt numFmtId="165" formatCode="_-[$R-1C09]* #,##0.00_-;\-[$R-1C09]* #,##0.00_-;_-[$R-1C09]* &quot;-&quot;??_-;_-@_-"/>
    <numFmt numFmtId="166" formatCode="dd\-mmm\-yyyy"/>
    <numFmt numFmtId="167" formatCode="[$-409]d\-mmm\-yyyy;@"/>
    <numFmt numFmtId="168" formatCode="[$-409]dd\-mmm\-yy;@"/>
    <numFmt numFmtId="169" formatCode="0.000%"/>
    <numFmt numFmtId="170" formatCode="[$R-1C09]\ #,##0.00"/>
    <numFmt numFmtId="171" formatCode="0.0%"/>
    <numFmt numFmtId="172" formatCode="0.00000%"/>
    <numFmt numFmtId="173" formatCode="dd/mmm/yyyy"/>
    <numFmt numFmtId="174" formatCode="_ &quot;R&quot;\ * #,##0.00_ ;_ &quot;R&quot;\ * \-#,##0.00_ ;_ &quot;R&quot;\ * &quot;-&quot;??_ ;_ @_ "/>
    <numFmt numFmtId="175" formatCode="dd/mmm/yyyy\,\ ddd"/>
  </numFmts>
  <fonts count="30"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0"/>
      <color rgb="FFBE0028"/>
      <name val="Arial"/>
      <family val="2"/>
    </font>
    <font>
      <b/>
      <sz val="12"/>
      <color rgb="FFBE0028"/>
      <name val="Arial"/>
      <family val="2"/>
    </font>
    <font>
      <sz val="10"/>
      <color rgb="FFBE0028"/>
      <name val="Arial"/>
      <family val="2"/>
    </font>
    <font>
      <b/>
      <sz val="14"/>
      <color rgb="FFBE0028"/>
      <name val="Arial"/>
      <family val="2"/>
    </font>
    <font>
      <sz val="12"/>
      <color rgb="FFBE0028"/>
      <name val="Arial"/>
      <family val="2"/>
    </font>
    <font>
      <sz val="12"/>
      <color theme="1"/>
      <name val="Arial"/>
      <family val="2"/>
    </font>
    <font>
      <b/>
      <sz val="8"/>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9">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4"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5"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5"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6" fontId="14" fillId="0" borderId="0" xfId="0" applyNumberFormat="1" applyFont="1" applyAlignment="1">
      <alignment horizontal="right"/>
    </xf>
    <xf numFmtId="167" fontId="14" fillId="0" borderId="0" xfId="0" applyNumberFormat="1" applyFont="1" applyAlignment="1">
      <alignment horizontal="right"/>
    </xf>
    <xf numFmtId="168"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0" fontId="14" fillId="0" borderId="0" xfId="0" applyNumberFormat="1" applyFont="1" applyAlignment="1">
      <alignment horizontal="right"/>
    </xf>
    <xf numFmtId="0" fontId="10" fillId="0" borderId="0" xfId="0" applyFont="1"/>
    <xf numFmtId="170" fontId="14" fillId="4" borderId="14" xfId="0" applyNumberFormat="1" applyFont="1" applyFill="1" applyBorder="1" applyAlignment="1">
      <alignment horizontal="right"/>
    </xf>
    <xf numFmtId="170" fontId="2" fillId="0" borderId="0" xfId="0" applyNumberFormat="1" applyFont="1"/>
    <xf numFmtId="170"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69" fontId="14" fillId="0" borderId="0" xfId="2" applyNumberFormat="1" applyFont="1" applyFill="1" applyBorder="1" applyAlignment="1">
      <alignment horizontal="right"/>
    </xf>
    <xf numFmtId="169" fontId="2" fillId="0" borderId="0" xfId="2" applyNumberFormat="1" applyFont="1"/>
    <xf numFmtId="0" fontId="13" fillId="0" borderId="0" xfId="0" applyFont="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3" xfId="0" applyFont="1" applyBorder="1" applyAlignment="1">
      <alignment horizontal="left" vertical="top" wrapText="1"/>
    </xf>
    <xf numFmtId="0" fontId="9" fillId="0" borderId="0" xfId="0" applyFont="1" applyAlignment="1">
      <alignment horizontal="center" vertical="top" wrapText="1"/>
    </xf>
    <xf numFmtId="0" fontId="9" fillId="0" borderId="0" xfId="0" applyFont="1" applyAlignment="1">
      <alignment vertical="center"/>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2" fillId="4" borderId="0" xfId="0" applyFont="1" applyFill="1"/>
    <xf numFmtId="0" fontId="20" fillId="4" borderId="1" xfId="0" applyFont="1" applyFill="1" applyBorder="1"/>
    <xf numFmtId="0" fontId="0" fillId="6" borderId="16" xfId="0" applyFill="1" applyBorder="1"/>
    <xf numFmtId="0" fontId="0" fillId="6" borderId="17" xfId="0" applyFill="1" applyBorder="1"/>
    <xf numFmtId="169" fontId="4" fillId="0" borderId="1" xfId="2" applyNumberFormat="1" applyFont="1" applyBorder="1" applyAlignment="1">
      <alignment horizontal="left"/>
    </xf>
    <xf numFmtId="172"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3"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69" fontId="0" fillId="4" borderId="0" xfId="2" applyNumberFormat="1" applyFont="1" applyFill="1"/>
    <xf numFmtId="0" fontId="0" fillId="6" borderId="0" xfId="0" applyFill="1" applyAlignment="1">
      <alignment horizontal="center"/>
    </xf>
    <xf numFmtId="172"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20" fillId="6" borderId="0" xfId="0" applyFont="1" applyFill="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3" fillId="7" borderId="1" xfId="0" applyFont="1" applyFill="1" applyBorder="1" applyAlignment="1">
      <alignment horizontal="left" vertical="center" wrapText="1"/>
    </xf>
    <xf numFmtId="164" fontId="20" fillId="7" borderId="1" xfId="1" applyNumberFormat="1" applyFont="1" applyFill="1" applyBorder="1" applyAlignment="1">
      <alignment horizontal="left" vertical="center" wrapText="1"/>
    </xf>
    <xf numFmtId="169" fontId="0" fillId="7" borderId="1" xfId="2" applyNumberFormat="1" applyFont="1" applyFill="1" applyBorder="1" applyAlignment="1">
      <alignment horizontal="left" vertical="center"/>
    </xf>
    <xf numFmtId="0" fontId="9" fillId="7" borderId="0" xfId="0" applyFont="1" applyFill="1" applyAlignment="1">
      <alignment horizontal="left" wrapText="1"/>
    </xf>
    <xf numFmtId="0" fontId="10" fillId="7" borderId="0" xfId="0" applyFont="1" applyFill="1" applyAlignment="1">
      <alignment horizontal="left"/>
    </xf>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14" fillId="7" borderId="9" xfId="0" applyFont="1" applyFill="1" applyBorder="1" applyAlignment="1">
      <alignment vertical="center"/>
    </xf>
    <xf numFmtId="1" fontId="9" fillId="7" borderId="0" xfId="0" applyNumberFormat="1" applyFont="1" applyFill="1" applyAlignment="1">
      <alignment horizontal="left"/>
    </xf>
    <xf numFmtId="0" fontId="14" fillId="7" borderId="11" xfId="0" applyFont="1" applyFill="1" applyBorder="1" applyAlignment="1">
      <alignment vertical="center"/>
    </xf>
    <xf numFmtId="1" fontId="9" fillId="7" borderId="12" xfId="0" applyNumberFormat="1" applyFont="1" applyFill="1" applyBorder="1" applyAlignment="1">
      <alignment horizontal="left"/>
    </xf>
    <xf numFmtId="0" fontId="9" fillId="7" borderId="7" xfId="0" applyFont="1" applyFill="1" applyBorder="1" applyAlignment="1">
      <alignment horizontal="center"/>
    </xf>
    <xf numFmtId="170" fontId="14" fillId="7" borderId="13" xfId="0" applyNumberFormat="1" applyFont="1" applyFill="1" applyBorder="1" applyAlignment="1">
      <alignment horizontal="right"/>
    </xf>
    <xf numFmtId="0" fontId="9" fillId="7" borderId="9" xfId="0" applyFont="1" applyFill="1" applyBorder="1" applyAlignment="1">
      <alignment horizontal="center"/>
    </xf>
    <xf numFmtId="0" fontId="9" fillId="7" borderId="0" xfId="0" applyFont="1" applyFill="1" applyAlignment="1">
      <alignment horizontal="center"/>
    </xf>
    <xf numFmtId="0" fontId="9" fillId="7" borderId="14" xfId="0" applyFont="1" applyFill="1" applyBorder="1" applyAlignment="1">
      <alignment horizontal="center"/>
    </xf>
    <xf numFmtId="0" fontId="14" fillId="7" borderId="9" xfId="0" applyFont="1" applyFill="1" applyBorder="1" applyAlignment="1">
      <alignment horizontal="left" vertical="center"/>
    </xf>
    <xf numFmtId="0" fontId="5" fillId="7" borderId="7" xfId="0" applyFont="1" applyFill="1" applyBorder="1" applyAlignment="1">
      <alignment horizontal="left"/>
    </xf>
    <xf numFmtId="0" fontId="5" fillId="7" borderId="0" xfId="0" applyFont="1" applyFill="1" applyAlignment="1">
      <alignment horizontal="left"/>
    </xf>
    <xf numFmtId="0" fontId="9" fillId="7" borderId="9" xfId="0" applyFont="1" applyFill="1" applyBorder="1" applyAlignment="1">
      <alignment horizontal="left"/>
    </xf>
    <xf numFmtId="0" fontId="9" fillId="7" borderId="0" xfId="0" applyFont="1" applyFill="1" applyAlignment="1">
      <alignment horizontal="left"/>
    </xf>
    <xf numFmtId="170" fontId="9" fillId="7" borderId="14" xfId="0" applyNumberFormat="1" applyFont="1" applyFill="1" applyBorder="1" applyAlignment="1">
      <alignment horizontal="left"/>
    </xf>
    <xf numFmtId="0" fontId="14" fillId="7" borderId="6" xfId="0" applyFont="1" applyFill="1" applyBorder="1" applyAlignment="1">
      <alignment horizontal="left"/>
    </xf>
    <xf numFmtId="0" fontId="14" fillId="7" borderId="7" xfId="0" applyFont="1" applyFill="1" applyBorder="1" applyAlignment="1">
      <alignment horizontal="center"/>
    </xf>
    <xf numFmtId="170" fontId="5" fillId="7" borderId="13" xfId="0" applyNumberFormat="1" applyFont="1" applyFill="1" applyBorder="1" applyAlignment="1">
      <alignment horizontal="right"/>
    </xf>
    <xf numFmtId="0" fontId="14" fillId="7" borderId="9" xfId="0" applyFont="1" applyFill="1" applyBorder="1" applyAlignment="1">
      <alignment horizontal="left"/>
    </xf>
    <xf numFmtId="0" fontId="14" fillId="7" borderId="0" xfId="0" applyFont="1" applyFill="1" applyAlignment="1">
      <alignment horizontal="center"/>
    </xf>
    <xf numFmtId="170" fontId="5" fillId="7" borderId="14" xfId="0" applyNumberFormat="1" applyFont="1" applyFill="1" applyBorder="1" applyAlignment="1">
      <alignment horizontal="right"/>
    </xf>
    <xf numFmtId="166"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0" fontId="10" fillId="0" borderId="0" xfId="0" applyFont="1" applyAlignment="1">
      <alignment horizontal="center" wrapText="1"/>
    </xf>
    <xf numFmtId="171" fontId="9" fillId="0" borderId="0" xfId="0" applyNumberFormat="1" applyFont="1" applyAlignment="1">
      <alignment wrapText="1"/>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69" fontId="9" fillId="0" borderId="1" xfId="0" applyNumberFormat="1" applyFont="1" applyBorder="1" applyAlignment="1">
      <alignment horizontal="left" vertical="top" wrapText="1"/>
    </xf>
    <xf numFmtId="0" fontId="9" fillId="0" borderId="5" xfId="0" applyFont="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10" fillId="7" borderId="1" xfId="0" applyFont="1" applyFill="1" applyBorder="1" applyAlignment="1">
      <alignment horizontal="left" vertical="center"/>
    </xf>
    <xf numFmtId="0" fontId="9" fillId="7" borderId="6" xfId="0" applyFont="1" applyFill="1" applyBorder="1" applyAlignment="1">
      <alignment horizontal="left"/>
    </xf>
    <xf numFmtId="169" fontId="9" fillId="7" borderId="6" xfId="0" applyNumberFormat="1" applyFont="1" applyFill="1" applyBorder="1" applyAlignment="1">
      <alignment horizontal="left"/>
    </xf>
    <xf numFmtId="169" fontId="9" fillId="7" borderId="10" xfId="0" applyNumberFormat="1" applyFont="1" applyFill="1" applyBorder="1" applyAlignment="1">
      <alignment horizontal="left"/>
    </xf>
    <xf numFmtId="169" fontId="9" fillId="7" borderId="9" xfId="0" applyNumberFormat="1" applyFont="1" applyFill="1" applyBorder="1" applyAlignment="1">
      <alignment horizontal="left"/>
    </xf>
    <xf numFmtId="0" fontId="10" fillId="7" borderId="3" xfId="0" applyFont="1" applyFill="1" applyBorder="1" applyAlignment="1">
      <alignment horizontal="left"/>
    </xf>
    <xf numFmtId="169" fontId="10" fillId="7" borderId="3" xfId="0" applyNumberFormat="1" applyFont="1" applyFill="1" applyBorder="1" applyAlignment="1">
      <alignment horizontal="left"/>
    </xf>
    <xf numFmtId="169" fontId="10" fillId="7" borderId="1" xfId="0" applyNumberFormat="1" applyFont="1" applyFill="1" applyBorder="1" applyAlignment="1">
      <alignment horizontal="left"/>
    </xf>
    <xf numFmtId="0" fontId="20" fillId="4" borderId="2" xfId="0" applyFont="1" applyFill="1" applyBorder="1"/>
    <xf numFmtId="10" fontId="19" fillId="2" borderId="2" xfId="0" applyNumberFormat="1" applyFont="1" applyFill="1" applyBorder="1" applyAlignment="1">
      <alignment horizontal="left"/>
    </xf>
    <xf numFmtId="0" fontId="17" fillId="0" borderId="0" xfId="0" applyFont="1"/>
    <xf numFmtId="0" fontId="18" fillId="0" borderId="0" xfId="0" applyFont="1" applyAlignment="1">
      <alignment horizontal="left" vertical="center"/>
    </xf>
    <xf numFmtId="9" fontId="19" fillId="0" borderId="0" xfId="0" applyNumberFormat="1" applyFont="1" applyAlignment="1">
      <alignment horizontal="left" vertical="center"/>
    </xf>
    <xf numFmtId="166" fontId="5" fillId="7" borderId="8" xfId="0" applyNumberFormat="1" applyFont="1" applyFill="1" applyBorder="1" applyAlignment="1">
      <alignment horizontal="right"/>
    </xf>
    <xf numFmtId="0" fontId="5" fillId="7" borderId="10" xfId="0" applyFont="1" applyFill="1" applyBorder="1" applyAlignment="1">
      <alignment horizontal="right"/>
    </xf>
    <xf numFmtId="166" fontId="5" fillId="7" borderId="10" xfId="0" applyNumberFormat="1"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8"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69" fontId="5" fillId="7" borderId="10" xfId="2" applyNumberFormat="1" applyFont="1" applyFill="1" applyBorder="1" applyAlignment="1">
      <alignment horizontal="right"/>
    </xf>
    <xf numFmtId="170" fontId="5" fillId="7" borderId="2" xfId="0" applyNumberFormat="1" applyFont="1" applyFill="1" applyBorder="1" applyAlignment="1">
      <alignment horizontal="right"/>
    </xf>
    <xf numFmtId="175" fontId="29" fillId="9" borderId="1" xfId="1" applyNumberFormat="1" applyFont="1" applyFill="1" applyBorder="1" applyAlignment="1">
      <alignment horizontal="center" vertical="center"/>
    </xf>
    <xf numFmtId="0" fontId="24" fillId="7" borderId="3" xfId="0" applyFont="1" applyFill="1" applyBorder="1" applyAlignment="1">
      <alignment horizontal="left"/>
    </xf>
    <xf numFmtId="0" fontId="24" fillId="7" borderId="4" xfId="0" applyFont="1" applyFill="1" applyBorder="1" applyAlignment="1">
      <alignment horizontal="left"/>
    </xf>
    <xf numFmtId="0" fontId="24" fillId="7" borderId="5" xfId="0" applyFont="1" applyFill="1" applyBorder="1" applyAlignment="1">
      <alignment horizontal="left"/>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0" fillId="7" borderId="1" xfId="0" applyFont="1" applyFill="1" applyBorder="1" applyAlignment="1">
      <alignment horizontal="left"/>
    </xf>
    <xf numFmtId="174" fontId="17" fillId="8" borderId="3" xfId="1" applyNumberFormat="1" applyFont="1" applyFill="1" applyBorder="1" applyAlignment="1" applyProtection="1">
      <alignment horizontal="center"/>
      <protection locked="0"/>
    </xf>
    <xf numFmtId="174" fontId="17" fillId="8" borderId="5" xfId="1" applyNumberFormat="1" applyFont="1" applyFill="1" applyBorder="1" applyAlignment="1" applyProtection="1">
      <alignment horizontal="center"/>
      <protection locked="0"/>
    </xf>
    <xf numFmtId="169" fontId="20" fillId="7" borderId="1" xfId="2" applyNumberFormat="1" applyFont="1" applyFill="1" applyBorder="1" applyAlignment="1" applyProtection="1">
      <alignment horizontal="left"/>
    </xf>
    <xf numFmtId="10" fontId="20" fillId="7" borderId="1" xfId="2" applyNumberFormat="1" applyFont="1" applyFill="1" applyBorder="1" applyAlignment="1" applyProtection="1">
      <alignment horizontal="left"/>
    </xf>
    <xf numFmtId="1" fontId="20" fillId="7" borderId="1" xfId="1" applyNumberFormat="1" applyFont="1" applyFill="1" applyBorder="1" applyAlignment="1" applyProtection="1">
      <alignment horizontal="left"/>
    </xf>
    <xf numFmtId="9" fontId="20" fillId="7" borderId="1" xfId="2" applyFont="1" applyFill="1" applyBorder="1" applyAlignment="1" applyProtection="1">
      <alignment horizontal="left"/>
    </xf>
    <xf numFmtId="166" fontId="20" fillId="7" borderId="3" xfId="1" applyNumberFormat="1" applyFont="1" applyFill="1" applyBorder="1" applyAlignment="1" applyProtection="1">
      <alignment horizontal="left"/>
    </xf>
    <xf numFmtId="166"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169" fontId="25" fillId="7" borderId="3" xfId="2" applyNumberFormat="1" applyFont="1" applyFill="1" applyBorder="1" applyAlignment="1" applyProtection="1">
      <alignment horizontal="left"/>
      <protection locked="0"/>
    </xf>
    <xf numFmtId="169" fontId="25" fillId="7" borderId="5" xfId="2" applyNumberFormat="1" applyFont="1" applyFill="1" applyBorder="1" applyAlignment="1" applyProtection="1">
      <alignment horizontal="left"/>
      <protection locked="0"/>
    </xf>
    <xf numFmtId="0" fontId="17" fillId="7" borderId="10" xfId="0" applyFont="1" applyFill="1" applyBorder="1" applyAlignment="1">
      <alignment horizontal="left"/>
    </xf>
    <xf numFmtId="0" fontId="17" fillId="7" borderId="9" xfId="0" applyFont="1" applyFill="1" applyBorder="1" applyAlignment="1">
      <alignment horizontal="left"/>
    </xf>
    <xf numFmtId="174" fontId="17" fillId="7" borderId="3" xfId="1" applyNumberFormat="1" applyFont="1" applyFill="1" applyBorder="1" applyAlignment="1" applyProtection="1">
      <alignment horizontal="center"/>
      <protection locked="0"/>
    </xf>
    <xf numFmtId="174" fontId="17" fillId="7" borderId="5" xfId="1" applyNumberFormat="1" applyFont="1" applyFill="1" applyBorder="1" applyAlignment="1" applyProtection="1">
      <alignment horizontal="center"/>
      <protection locked="0"/>
    </xf>
    <xf numFmtId="0" fontId="17" fillId="7" borderId="1" xfId="0" applyFont="1" applyFill="1" applyBorder="1" applyAlignment="1">
      <alignment horizontal="left"/>
    </xf>
    <xf numFmtId="166" fontId="17" fillId="7" borderId="3" xfId="1" applyNumberFormat="1" applyFont="1" applyFill="1" applyBorder="1" applyAlignment="1" applyProtection="1">
      <alignment horizontal="center"/>
      <protection locked="0"/>
    </xf>
    <xf numFmtId="166"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6" fontId="17" fillId="0" borderId="0" xfId="0" applyNumberFormat="1" applyFont="1" applyAlignment="1">
      <alignment horizontal="right"/>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9" xfId="0" applyFont="1" applyFill="1" applyBorder="1" applyAlignment="1">
      <alignment wrapText="1"/>
    </xf>
    <xf numFmtId="0" fontId="9" fillId="7" borderId="0" xfId="0" applyFont="1" applyFill="1" applyAlignment="1">
      <alignment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0" borderId="9"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0" borderId="3" xfId="0" applyNumberFormat="1" applyFont="1" applyBorder="1" applyAlignment="1">
      <alignment horizontal="left" vertical="top" wrapText="1"/>
    </xf>
    <xf numFmtId="0" fontId="9" fillId="0" borderId="5" xfId="0" applyFont="1" applyBorder="1" applyAlignment="1">
      <alignment horizontal="left" vertical="top" wrapText="1"/>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xf>
    <xf numFmtId="0" fontId="9" fillId="7" borderId="13" xfId="0" applyFont="1" applyFill="1" applyBorder="1" applyAlignment="1">
      <alignment horizontal="left" vertical="center"/>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8" fillId="7" borderId="3"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9" fillId="7" borderId="6" xfId="0" applyFont="1" applyFill="1" applyBorder="1" applyAlignment="1">
      <alignment horizontal="left" wrapText="1"/>
    </xf>
    <xf numFmtId="0" fontId="9" fillId="7" borderId="7" xfId="0" applyFont="1" applyFill="1" applyBorder="1" applyAlignment="1">
      <alignment horizontal="left" wrapText="1"/>
    </xf>
    <xf numFmtId="0" fontId="9" fillId="7" borderId="13" xfId="0" applyFont="1" applyFill="1" applyBorder="1" applyAlignment="1">
      <alignment horizontal="left" wrapText="1"/>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0" fontId="26" fillId="7" borderId="0" xfId="0" applyFont="1" applyFill="1" applyAlignment="1">
      <alignment horizontal="left"/>
    </xf>
    <xf numFmtId="0" fontId="27" fillId="7" borderId="0" xfId="0" applyFont="1" applyFill="1" applyAlignment="1">
      <alignment horizontal="left" vertical="center" wrapText="1"/>
    </xf>
    <xf numFmtId="0" fontId="24" fillId="7" borderId="0" xfId="0" applyFont="1" applyFill="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5" fmlaLink="$N$1" fmlaRange="$N$3:$N$17" sel="2" val="0"/>
</file>

<file path=xl/ctrlProps/ctrlProp2.xml><?xml version="1.0" encoding="utf-8"?>
<formControlPr xmlns="http://schemas.microsoft.com/office/spreadsheetml/2009/9/main" objectType="Drop" dropLines="13" dropStyle="combo" dx="25" fmlaLink="$Q$1" fmlaRange="$Q$3:$Q$15" sel="7"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41</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editAs="oneCell">
    <xdr:from>
      <xdr:col>1</xdr:col>
      <xdr:colOff>0</xdr:colOff>
      <xdr:row>1</xdr:row>
      <xdr:rowOff>0</xdr:rowOff>
    </xdr:from>
    <xdr:to>
      <xdr:col>3</xdr:col>
      <xdr:colOff>227135</xdr:colOff>
      <xdr:row>1</xdr:row>
      <xdr:rowOff>788366</xdr:rowOff>
    </xdr:to>
    <xdr:pic>
      <xdr:nvPicPr>
        <xdr:cNvPr id="2" name="Picture 1">
          <a:extLst>
            <a:ext uri="{FF2B5EF4-FFF2-40B4-BE49-F238E27FC236}">
              <a16:creationId xmlns:a16="http://schemas.microsoft.com/office/drawing/2014/main" id="{97FFBAC6-47C8-6A3F-C7B9-B76F2EB1B958}"/>
            </a:ext>
          </a:extLst>
        </xdr:cNvPr>
        <xdr:cNvPicPr>
          <a:picLocks noChangeAspect="1"/>
        </xdr:cNvPicPr>
      </xdr:nvPicPr>
      <xdr:blipFill>
        <a:blip xmlns:r="http://schemas.openxmlformats.org/officeDocument/2006/relationships" r:embed="rId1"/>
        <a:stretch>
          <a:fillRect/>
        </a:stretch>
      </xdr:blipFill>
      <xdr:spPr>
        <a:xfrm>
          <a:off x="315058" y="183173"/>
          <a:ext cx="2681654" cy="79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604422</xdr:colOff>
      <xdr:row>11</xdr:row>
      <xdr:rowOff>37238</xdr:rowOff>
    </xdr:from>
    <xdr:to>
      <xdr:col>5</xdr:col>
      <xdr:colOff>898496</xdr:colOff>
      <xdr:row>43</xdr:row>
      <xdr:rowOff>107096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1636851" y="5138137"/>
          <a:ext cx="6930432" cy="1915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692212</xdr:colOff>
      <xdr:row>63</xdr:row>
      <xdr:rowOff>120995</xdr:rowOff>
    </xdr:from>
    <xdr:to>
      <xdr:col>4</xdr:col>
      <xdr:colOff>1574862</xdr:colOff>
      <xdr:row>80</xdr:row>
      <xdr:rowOff>464577</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1161771" y="18155336"/>
          <a:ext cx="7373032"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98</xdr:row>
      <xdr:rowOff>177800</xdr:rowOff>
    </xdr:from>
    <xdr:to>
      <xdr:col>4</xdr:col>
      <xdr:colOff>1079501</xdr:colOff>
      <xdr:row>122</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6</xdr:col>
          <xdr:colOff>885825</xdr:colOff>
          <xdr:row>51</xdr:row>
          <xdr:rowOff>0</xdr:rowOff>
        </xdr:from>
        <xdr:to>
          <xdr:col>6</xdr:col>
          <xdr:colOff>1704975</xdr:colOff>
          <xdr:row>52</xdr:row>
          <xdr:rowOff>9525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885825</xdr:colOff>
          <xdr:row>52</xdr:row>
          <xdr:rowOff>85725</xdr:rowOff>
        </xdr:from>
        <xdr:to>
          <xdr:col>6</xdr:col>
          <xdr:colOff>1695450</xdr:colOff>
          <xdr:row>53</xdr:row>
          <xdr:rowOff>66675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68263</xdr:colOff>
      <xdr:row>55</xdr:row>
      <xdr:rowOff>175418</xdr:rowOff>
    </xdr:from>
    <xdr:to>
      <xdr:col>3</xdr:col>
      <xdr:colOff>1057275</xdr:colOff>
      <xdr:row>58</xdr:row>
      <xdr:rowOff>188537</xdr:rowOff>
    </xdr:to>
    <xdr:pic>
      <xdr:nvPicPr>
        <xdr:cNvPr id="2" name="Picture 1">
          <a:extLst>
            <a:ext uri="{FF2B5EF4-FFF2-40B4-BE49-F238E27FC236}">
              <a16:creationId xmlns:a16="http://schemas.microsoft.com/office/drawing/2014/main" id="{EB66FCEA-81F8-CB48-CBA3-74DBC589462A}"/>
            </a:ext>
          </a:extLst>
        </xdr:cNvPr>
        <xdr:cNvPicPr>
          <a:picLocks noChangeAspect="1"/>
        </xdr:cNvPicPr>
      </xdr:nvPicPr>
      <xdr:blipFill>
        <a:blip xmlns:r="http://schemas.openxmlformats.org/officeDocument/2006/relationships" r:embed="rId1"/>
        <a:stretch>
          <a:fillRect/>
        </a:stretch>
      </xdr:blipFill>
      <xdr:spPr>
        <a:xfrm>
          <a:off x="449263" y="12403137"/>
          <a:ext cx="2771775" cy="822744"/>
        </a:xfrm>
        <a:prstGeom prst="rect">
          <a:avLst/>
        </a:prstGeom>
      </xdr:spPr>
    </xdr:pic>
    <xdr:clientData/>
  </xdr:twoCellAnchor>
  <xdr:twoCellAnchor editAs="oneCell">
    <xdr:from>
      <xdr:col>2</xdr:col>
      <xdr:colOff>95250</xdr:colOff>
      <xdr:row>0</xdr:row>
      <xdr:rowOff>35720</xdr:rowOff>
    </xdr:from>
    <xdr:to>
      <xdr:col>3</xdr:col>
      <xdr:colOff>922337</xdr:colOff>
      <xdr:row>4</xdr:row>
      <xdr:rowOff>50298</xdr:rowOff>
    </xdr:to>
    <xdr:pic>
      <xdr:nvPicPr>
        <xdr:cNvPr id="3" name="Picture 2" descr="A black background with red text&#10;&#10;Description automatically generated">
          <a:extLst>
            <a:ext uri="{FF2B5EF4-FFF2-40B4-BE49-F238E27FC236}">
              <a16:creationId xmlns:a16="http://schemas.microsoft.com/office/drawing/2014/main" id="{6CCAAB31-D29F-48BF-B256-20C5A1587A22}"/>
            </a:ext>
          </a:extLst>
        </xdr:cNvPr>
        <xdr:cNvPicPr>
          <a:picLocks noChangeAspect="1"/>
        </xdr:cNvPicPr>
      </xdr:nvPicPr>
      <xdr:blipFill>
        <a:blip xmlns:r="http://schemas.openxmlformats.org/officeDocument/2006/relationships" r:embed="rId2"/>
        <a:stretch>
          <a:fillRect/>
        </a:stretch>
      </xdr:blipFill>
      <xdr:spPr>
        <a:xfrm>
          <a:off x="476250" y="35720"/>
          <a:ext cx="2616200" cy="779753"/>
        </a:xfrm>
        <a:prstGeom prst="rect">
          <a:avLst/>
        </a:prstGeom>
      </xdr:spPr>
    </xdr:pic>
    <xdr:clientData/>
  </xdr:twoCellAnchor>
  <xdr:twoCellAnchor editAs="oneCell">
    <xdr:from>
      <xdr:col>2</xdr:col>
      <xdr:colOff>47625</xdr:colOff>
      <xdr:row>88</xdr:row>
      <xdr:rowOff>107156</xdr:rowOff>
    </xdr:from>
    <xdr:to>
      <xdr:col>3</xdr:col>
      <xdr:colOff>973137</xdr:colOff>
      <xdr:row>92</xdr:row>
      <xdr:rowOff>86145</xdr:rowOff>
    </xdr:to>
    <xdr:pic>
      <xdr:nvPicPr>
        <xdr:cNvPr id="4" name="Picture 3" descr="A black background with red text&#10;&#10;Description automatically generated">
          <a:extLst>
            <a:ext uri="{FF2B5EF4-FFF2-40B4-BE49-F238E27FC236}">
              <a16:creationId xmlns:a16="http://schemas.microsoft.com/office/drawing/2014/main" id="{3546FCDC-1AEE-40F8-85B9-CD8F7CB22DD1}"/>
            </a:ext>
          </a:extLst>
        </xdr:cNvPr>
        <xdr:cNvPicPr>
          <a:picLocks noChangeAspect="1"/>
        </xdr:cNvPicPr>
      </xdr:nvPicPr>
      <xdr:blipFill>
        <a:blip xmlns:r="http://schemas.openxmlformats.org/officeDocument/2006/relationships" r:embed="rId2"/>
        <a:stretch>
          <a:fillRect/>
        </a:stretch>
      </xdr:blipFill>
      <xdr:spPr>
        <a:xfrm>
          <a:off x="428625" y="24574500"/>
          <a:ext cx="2711450" cy="809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showGridLines="0" showRowColHeaders="0" view="pageBreakPreview" topLeftCell="C7" zoomScale="130" zoomScaleNormal="100" zoomScaleSheetLayoutView="130" workbookViewId="0">
      <selection activeCell="E11" sqref="E11:F11"/>
    </sheetView>
  </sheetViews>
  <sheetFormatPr defaultColWidth="8.7109375" defaultRowHeight="15" x14ac:dyDescent="0.25"/>
  <cols>
    <col min="1" max="1" width="4.5703125" style="73" customWidth="1"/>
    <col min="2" max="2" width="23.85546875" style="73" customWidth="1"/>
    <col min="3" max="3" width="11.140625" style="73" customWidth="1"/>
    <col min="4" max="4" width="19.140625" style="73" customWidth="1"/>
    <col min="5" max="5" width="13.28515625" style="73" customWidth="1"/>
    <col min="6" max="6" width="37.42578125" style="73" customWidth="1"/>
    <col min="7" max="7" width="4.5703125" style="73" customWidth="1"/>
    <col min="8" max="8" width="9.140625" style="73" hidden="1" customWidth="1"/>
    <col min="9" max="9" width="10.85546875" style="73" hidden="1" customWidth="1"/>
    <col min="10" max="10" width="9.140625" style="73" hidden="1" customWidth="1"/>
    <col min="11" max="11" width="14.5703125" style="73" hidden="1" customWidth="1"/>
    <col min="12" max="13" width="9.140625" style="73" hidden="1" customWidth="1"/>
    <col min="14" max="14" width="9.140625" style="73" customWidth="1"/>
    <col min="15" max="15" width="8.7109375" style="73" customWidth="1"/>
    <col min="16" max="16384" width="8.7109375" style="73"/>
  </cols>
  <sheetData>
    <row r="1" spans="1:13" customFormat="1" x14ac:dyDescent="0.25">
      <c r="K1" s="166" t="s">
        <v>79</v>
      </c>
      <c r="L1" s="167" t="s">
        <v>80</v>
      </c>
      <c r="M1" s="168">
        <v>0.15</v>
      </c>
    </row>
    <row r="2" spans="1:13" ht="73.5" customHeight="1" x14ac:dyDescent="0.25">
      <c r="A2" s="77"/>
      <c r="B2" s="82"/>
      <c r="C2" s="82"/>
      <c r="D2" s="82"/>
      <c r="E2" s="82"/>
      <c r="F2" s="82"/>
      <c r="G2" s="78"/>
      <c r="I2" s="75"/>
      <c r="K2" s="164" t="s">
        <v>81</v>
      </c>
      <c r="L2" s="164" t="s">
        <v>82</v>
      </c>
      <c r="M2" s="165">
        <v>2.3E-2</v>
      </c>
    </row>
    <row r="3" spans="1:13" ht="15.75" x14ac:dyDescent="0.25">
      <c r="A3" s="77"/>
      <c r="B3" s="215" t="s">
        <v>83</v>
      </c>
      <c r="C3" s="216"/>
      <c r="D3" s="216"/>
      <c r="E3" s="216"/>
      <c r="F3" s="217"/>
      <c r="G3" s="78"/>
      <c r="K3" s="76" t="s">
        <v>84</v>
      </c>
      <c r="L3" s="76" t="s">
        <v>85</v>
      </c>
      <c r="M3" s="79">
        <f>E22*IF($E$21="YES",SUM(1,$M$1),1)</f>
        <v>2.3E-2</v>
      </c>
    </row>
    <row r="4" spans="1:13" ht="15.75" x14ac:dyDescent="0.25">
      <c r="A4" s="77"/>
      <c r="B4" s="215" t="s">
        <v>86</v>
      </c>
      <c r="C4" s="216"/>
      <c r="D4" s="216"/>
      <c r="E4" s="216"/>
      <c r="F4" s="217"/>
      <c r="G4" s="78"/>
      <c r="K4" s="76" t="s">
        <v>87</v>
      </c>
      <c r="L4" s="76" t="s">
        <v>88</v>
      </c>
      <c r="M4" s="80">
        <f>MAX(0%,$M$2-$M$3)</f>
        <v>0</v>
      </c>
    </row>
    <row r="5" spans="1:13" x14ac:dyDescent="0.25">
      <c r="A5" s="77"/>
      <c r="B5" s="81"/>
      <c r="C5" s="82"/>
      <c r="D5" s="82"/>
      <c r="E5" s="82"/>
      <c r="F5" s="82"/>
      <c r="G5" s="78"/>
      <c r="K5" s="76" t="s">
        <v>89</v>
      </c>
    </row>
    <row r="6" spans="1:13" x14ac:dyDescent="0.25">
      <c r="A6" s="77"/>
      <c r="B6" s="96" t="s">
        <v>90</v>
      </c>
      <c r="C6" s="82"/>
      <c r="D6" s="82"/>
      <c r="E6" s="218">
        <f ca="1">TODAY()</f>
        <v>45611</v>
      </c>
      <c r="F6" s="218"/>
      <c r="G6" s="78"/>
      <c r="K6" s="76" t="s">
        <v>91</v>
      </c>
    </row>
    <row r="7" spans="1:13" x14ac:dyDescent="0.25">
      <c r="A7" s="77"/>
      <c r="B7" s="83"/>
      <c r="C7" s="82"/>
      <c r="D7" s="82"/>
      <c r="E7" s="84"/>
      <c r="F7" s="84"/>
      <c r="G7" s="78"/>
      <c r="K7" s="76" t="s">
        <v>92</v>
      </c>
    </row>
    <row r="8" spans="1:13" ht="30" customHeight="1" x14ac:dyDescent="0.25">
      <c r="A8" s="77"/>
      <c r="B8" s="182"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14 November 2024 until 06 December 2024</v>
      </c>
      <c r="C8" s="183"/>
      <c r="D8" s="183"/>
      <c r="E8" s="183"/>
      <c r="F8" s="184"/>
      <c r="G8" s="78"/>
      <c r="K8" s="76" t="s">
        <v>93</v>
      </c>
    </row>
    <row r="9" spans="1:13" x14ac:dyDescent="0.25">
      <c r="A9" s="77"/>
      <c r="B9" s="81"/>
      <c r="C9" s="82"/>
      <c r="D9" s="82"/>
      <c r="E9" s="82"/>
      <c r="F9" s="82"/>
      <c r="G9" s="78"/>
      <c r="K9" s="76" t="s">
        <v>94</v>
      </c>
    </row>
    <row r="10" spans="1:13" ht="15.75" x14ac:dyDescent="0.25">
      <c r="A10" s="77"/>
      <c r="B10" s="179" t="s">
        <v>95</v>
      </c>
      <c r="C10" s="180"/>
      <c r="D10" s="180"/>
      <c r="E10" s="180"/>
      <c r="F10" s="181"/>
      <c r="G10" s="78"/>
      <c r="K10" s="76"/>
    </row>
    <row r="11" spans="1:13" x14ac:dyDescent="0.25">
      <c r="A11" s="77"/>
      <c r="B11" s="212" t="s">
        <v>79</v>
      </c>
      <c r="C11" s="212"/>
      <c r="D11" s="201"/>
      <c r="E11" s="210"/>
      <c r="F11" s="211"/>
      <c r="G11" s="78"/>
    </row>
    <row r="12" spans="1:13" x14ac:dyDescent="0.25">
      <c r="A12" s="77"/>
      <c r="B12" s="208" t="s">
        <v>96</v>
      </c>
      <c r="C12" s="208"/>
      <c r="D12" s="209"/>
      <c r="E12" s="210"/>
      <c r="F12" s="211"/>
      <c r="G12" s="78"/>
    </row>
    <row r="13" spans="1:13" x14ac:dyDescent="0.25">
      <c r="A13" s="77"/>
      <c r="B13" s="212" t="s">
        <v>97</v>
      </c>
      <c r="C13" s="212"/>
      <c r="D13" s="201"/>
      <c r="E13" s="210"/>
      <c r="F13" s="211"/>
      <c r="G13" s="78"/>
      <c r="K13" s="74" t="s">
        <v>98</v>
      </c>
    </row>
    <row r="14" spans="1:13" x14ac:dyDescent="0.25">
      <c r="A14" s="77"/>
      <c r="B14" s="212" t="s">
        <v>99</v>
      </c>
      <c r="C14" s="212"/>
      <c r="D14" s="201"/>
      <c r="E14" s="213"/>
      <c r="F14" s="214"/>
      <c r="G14" s="78"/>
      <c r="K14" s="76" t="s">
        <v>100</v>
      </c>
    </row>
    <row r="15" spans="1:13" x14ac:dyDescent="0.25">
      <c r="A15" s="77"/>
      <c r="B15" s="81"/>
      <c r="C15" s="82"/>
      <c r="D15" s="82"/>
      <c r="E15" s="82"/>
      <c r="F15" s="85"/>
      <c r="G15" s="78"/>
      <c r="K15" s="76" t="s">
        <v>101</v>
      </c>
    </row>
    <row r="16" spans="1:13" ht="15.75" x14ac:dyDescent="0.25">
      <c r="A16" s="77"/>
      <c r="B16" s="179" t="s">
        <v>23</v>
      </c>
      <c r="C16" s="180"/>
      <c r="D16" s="180"/>
      <c r="E16" s="180"/>
      <c r="F16" s="181"/>
      <c r="G16" s="78"/>
    </row>
    <row r="17" spans="1:11" x14ac:dyDescent="0.25">
      <c r="A17" s="77"/>
      <c r="B17" s="201" t="s">
        <v>79</v>
      </c>
      <c r="C17" s="202"/>
      <c r="D17" s="203"/>
      <c r="E17" s="204"/>
      <c r="F17" s="205"/>
      <c r="G17" s="78"/>
    </row>
    <row r="18" spans="1:11" x14ac:dyDescent="0.25">
      <c r="A18" s="77"/>
      <c r="B18" s="201" t="s">
        <v>96</v>
      </c>
      <c r="C18" s="202"/>
      <c r="D18" s="203"/>
      <c r="E18" s="204"/>
      <c r="F18" s="205"/>
      <c r="G18" s="78"/>
    </row>
    <row r="19" spans="1:11" x14ac:dyDescent="0.25">
      <c r="A19" s="77"/>
      <c r="B19" s="201" t="s">
        <v>97</v>
      </c>
      <c r="C19" s="202"/>
      <c r="D19" s="203"/>
      <c r="E19" s="204"/>
      <c r="F19" s="205"/>
      <c r="G19" s="78"/>
    </row>
    <row r="20" spans="1:11" x14ac:dyDescent="0.25">
      <c r="A20" s="77"/>
      <c r="B20" s="201" t="s">
        <v>102</v>
      </c>
      <c r="C20" s="202"/>
      <c r="D20" s="203"/>
      <c r="E20" s="204"/>
      <c r="F20" s="205"/>
      <c r="G20" s="78"/>
    </row>
    <row r="21" spans="1:11" x14ac:dyDescent="0.25">
      <c r="A21" s="77"/>
      <c r="B21" s="201" t="s">
        <v>103</v>
      </c>
      <c r="C21" s="202"/>
      <c r="D21" s="203"/>
      <c r="E21" s="204" t="s">
        <v>100</v>
      </c>
      <c r="F21" s="205"/>
      <c r="G21" s="78"/>
      <c r="K21" s="86"/>
    </row>
    <row r="22" spans="1:11" x14ac:dyDescent="0.25">
      <c r="A22" s="77"/>
      <c r="B22" s="97" t="s">
        <v>104</v>
      </c>
      <c r="C22" s="98"/>
      <c r="D22" s="99"/>
      <c r="E22" s="206">
        <v>0.02</v>
      </c>
      <c r="F22" s="207"/>
      <c r="G22" s="78"/>
      <c r="K22" s="87"/>
    </row>
    <row r="23" spans="1:11" x14ac:dyDescent="0.25">
      <c r="A23" s="77"/>
      <c r="B23" s="82"/>
      <c r="C23" s="82"/>
      <c r="D23" s="82"/>
      <c r="E23" s="82"/>
      <c r="F23" s="88"/>
      <c r="G23" s="78"/>
      <c r="K23" s="89"/>
    </row>
    <row r="24" spans="1:11" ht="15.75" x14ac:dyDescent="0.25">
      <c r="A24" s="77"/>
      <c r="B24" s="179" t="s">
        <v>28</v>
      </c>
      <c r="C24" s="180"/>
      <c r="D24" s="180"/>
      <c r="E24" s="180"/>
      <c r="F24" s="181"/>
      <c r="G24" s="78"/>
    </row>
    <row r="25" spans="1:11" x14ac:dyDescent="0.25">
      <c r="A25" s="77"/>
      <c r="B25" s="97" t="s">
        <v>105</v>
      </c>
      <c r="C25" s="98"/>
      <c r="D25" s="98"/>
      <c r="E25" s="189">
        <v>100000</v>
      </c>
      <c r="F25" s="190"/>
      <c r="G25" s="78"/>
    </row>
    <row r="26" spans="1:11" x14ac:dyDescent="0.25">
      <c r="A26" s="77"/>
      <c r="B26" s="100" t="s">
        <v>106</v>
      </c>
      <c r="C26" s="101"/>
      <c r="D26" s="101"/>
      <c r="E26" s="191">
        <v>1</v>
      </c>
      <c r="F26" s="191"/>
      <c r="G26" s="78"/>
    </row>
    <row r="27" spans="1:11" x14ac:dyDescent="0.25">
      <c r="A27" s="77"/>
      <c r="B27" s="100" t="s">
        <v>132</v>
      </c>
      <c r="C27" s="101"/>
      <c r="D27" s="101"/>
      <c r="E27" s="192">
        <v>0.122</v>
      </c>
      <c r="F27" s="192"/>
      <c r="G27" s="78"/>
    </row>
    <row r="28" spans="1:11" x14ac:dyDescent="0.25">
      <c r="A28" s="77"/>
      <c r="B28" s="100" t="s">
        <v>133</v>
      </c>
      <c r="C28" s="101"/>
      <c r="D28" s="101"/>
      <c r="E28" s="193">
        <v>1</v>
      </c>
      <c r="F28" s="193"/>
      <c r="G28" s="78"/>
    </row>
    <row r="29" spans="1:11" x14ac:dyDescent="0.25">
      <c r="A29" s="77"/>
      <c r="B29" s="100" t="s">
        <v>107</v>
      </c>
      <c r="C29" s="101"/>
      <c r="D29" s="101"/>
      <c r="E29" s="194">
        <v>2</v>
      </c>
      <c r="F29" s="194"/>
      <c r="G29" s="78"/>
    </row>
    <row r="30" spans="1:11" x14ac:dyDescent="0.25">
      <c r="A30" s="77"/>
      <c r="B30" s="100" t="s">
        <v>108</v>
      </c>
      <c r="C30" s="101"/>
      <c r="D30" s="101"/>
      <c r="E30" s="195">
        <v>45638</v>
      </c>
      <c r="F30" s="196"/>
      <c r="G30" s="78"/>
    </row>
    <row r="31" spans="1:11" x14ac:dyDescent="0.25">
      <c r="A31" s="77"/>
      <c r="B31" s="97" t="s">
        <v>36</v>
      </c>
      <c r="C31" s="98"/>
      <c r="D31" s="99"/>
      <c r="E31" s="195">
        <f>E30+1</f>
        <v>45639</v>
      </c>
      <c r="F31" s="196"/>
      <c r="G31" s="78"/>
    </row>
    <row r="32" spans="1:11" x14ac:dyDescent="0.25">
      <c r="A32" s="77"/>
      <c r="B32" s="100" t="s">
        <v>109</v>
      </c>
      <c r="C32" s="101"/>
      <c r="D32" s="101"/>
      <c r="E32" s="195">
        <f>DATE(YEAR($E$30)+1,MONTH($E$30),DAY($E$30))</f>
        <v>46003</v>
      </c>
      <c r="F32" s="196"/>
      <c r="G32" s="78"/>
    </row>
    <row r="33" spans="1:7" x14ac:dyDescent="0.25">
      <c r="A33" s="77"/>
      <c r="B33" s="100" t="s">
        <v>110</v>
      </c>
      <c r="C33" s="101"/>
      <c r="D33" s="101"/>
      <c r="E33" s="195">
        <f>DATE(YEAR($E$30)+5,MONTH($E$30),DAY($E$30))</f>
        <v>47464</v>
      </c>
      <c r="F33" s="196"/>
      <c r="G33" s="78"/>
    </row>
    <row r="34" spans="1:7" x14ac:dyDescent="0.25">
      <c r="A34" s="77"/>
      <c r="B34" s="102" t="s">
        <v>9</v>
      </c>
      <c r="C34" s="103"/>
      <c r="D34" s="103"/>
      <c r="E34" s="197" t="s">
        <v>129</v>
      </c>
      <c r="F34" s="198"/>
      <c r="G34" s="90"/>
    </row>
    <row r="35" spans="1:7" x14ac:dyDescent="0.25">
      <c r="A35" s="77"/>
      <c r="B35" s="97" t="s">
        <v>111</v>
      </c>
      <c r="C35" s="98"/>
      <c r="D35" s="99"/>
      <c r="E35" s="199" t="s">
        <v>112</v>
      </c>
      <c r="F35" s="200"/>
      <c r="G35" s="78"/>
    </row>
    <row r="36" spans="1:7" x14ac:dyDescent="0.25">
      <c r="A36" s="77"/>
      <c r="B36" s="97" t="s">
        <v>113</v>
      </c>
      <c r="C36" s="98"/>
      <c r="D36" s="99"/>
      <c r="E36" s="188">
        <v>5</v>
      </c>
      <c r="F36" s="188"/>
      <c r="G36" s="78"/>
    </row>
    <row r="37" spans="1:7" x14ac:dyDescent="0.25">
      <c r="A37" s="77"/>
      <c r="B37" s="91"/>
      <c r="C37" s="91"/>
      <c r="D37" s="91"/>
      <c r="E37" s="91"/>
      <c r="F37" s="92"/>
      <c r="G37" s="78"/>
    </row>
    <row r="38" spans="1:7" ht="15.75" x14ac:dyDescent="0.25">
      <c r="A38" s="77"/>
      <c r="B38" s="179" t="s">
        <v>114</v>
      </c>
      <c r="C38" s="180"/>
      <c r="D38" s="180"/>
      <c r="E38" s="180"/>
      <c r="F38" s="181"/>
      <c r="G38" s="78"/>
    </row>
    <row r="39" spans="1:7" x14ac:dyDescent="0.25">
      <c r="A39" s="77"/>
      <c r="B39" s="104" t="s">
        <v>115</v>
      </c>
      <c r="C39" s="104" t="s">
        <v>116</v>
      </c>
      <c r="D39" s="182" t="s">
        <v>46</v>
      </c>
      <c r="E39" s="183"/>
      <c r="F39" s="184"/>
      <c r="G39" s="78"/>
    </row>
    <row r="40" spans="1:7" ht="16.5" customHeight="1" x14ac:dyDescent="0.25">
      <c r="A40" s="77"/>
      <c r="B40" s="105" t="s">
        <v>117</v>
      </c>
      <c r="C40" s="106">
        <v>0.01</v>
      </c>
      <c r="D40" s="185" t="s">
        <v>118</v>
      </c>
      <c r="E40" s="186"/>
      <c r="F40" s="187"/>
      <c r="G40" s="78"/>
    </row>
    <row r="41" spans="1:7" ht="16.5" customHeight="1" x14ac:dyDescent="0.25">
      <c r="A41" s="77"/>
      <c r="B41" s="105" t="s">
        <v>119</v>
      </c>
      <c r="C41" s="106">
        <v>1.4999999999999999E-2</v>
      </c>
      <c r="D41" s="185" t="s">
        <v>120</v>
      </c>
      <c r="E41" s="186"/>
      <c r="F41" s="187"/>
      <c r="G41" s="78"/>
    </row>
    <row r="42" spans="1:7" ht="16.5" customHeight="1" x14ac:dyDescent="0.25">
      <c r="A42" s="77"/>
      <c r="B42" s="105" t="s">
        <v>121</v>
      </c>
      <c r="C42" s="106">
        <f>E22*IF($E$21="YES",SUM(1,M1),1)</f>
        <v>2.3E-2</v>
      </c>
      <c r="D42" s="185" t="str">
        <f>IF($E$21="YES","Inclusive of VAT. Upfront as a percentage of the investment amount.","Exclusive of VAT. Upfront as a percentage of the investment amount.")</f>
        <v>Inclusive of VAT. Upfront as a percentage of the investment amount.</v>
      </c>
      <c r="E42" s="186"/>
      <c r="F42" s="187"/>
      <c r="G42" s="78"/>
    </row>
    <row r="43" spans="1:7" ht="15.75" thickBot="1" x14ac:dyDescent="0.3">
      <c r="A43" s="93"/>
      <c r="B43" s="94"/>
      <c r="C43" s="94"/>
      <c r="D43" s="94"/>
      <c r="E43" s="94"/>
      <c r="F43" s="94"/>
      <c r="G43" s="95"/>
    </row>
  </sheetData>
  <sheetProtection algorithmName="SHA-512" hashValue="op5DTjGQKH/HTV37DnuaQf7auPMzGF0NobDpM68Vkw3mj+XvWKX5iuNKlESDYLnIZWHoVypvNdPYU99OSzG6yg==" saltValue="VaooYVmMrTxEIPy6PTvBww==" spinCount="100000" sheet="1" selectLockedCells="1"/>
  <mergeCells count="43">
    <mergeCell ref="B11:D11"/>
    <mergeCell ref="E11:F11"/>
    <mergeCell ref="B3:F3"/>
    <mergeCell ref="B4:F4"/>
    <mergeCell ref="E6:F6"/>
    <mergeCell ref="B8:F8"/>
    <mergeCell ref="B10:F10"/>
    <mergeCell ref="B12:D12"/>
    <mergeCell ref="E12:F12"/>
    <mergeCell ref="B13:D13"/>
    <mergeCell ref="E13:F13"/>
    <mergeCell ref="B14:D14"/>
    <mergeCell ref="E14:F14"/>
    <mergeCell ref="B24:F24"/>
    <mergeCell ref="B16:F16"/>
    <mergeCell ref="B17:D17"/>
    <mergeCell ref="E17:F17"/>
    <mergeCell ref="B18:D18"/>
    <mergeCell ref="E18:F18"/>
    <mergeCell ref="B19:D19"/>
    <mergeCell ref="E19:F19"/>
    <mergeCell ref="B20:D20"/>
    <mergeCell ref="E20:F20"/>
    <mergeCell ref="B21:D21"/>
    <mergeCell ref="E21:F21"/>
    <mergeCell ref="E22:F22"/>
    <mergeCell ref="E36:F36"/>
    <mergeCell ref="E25:F25"/>
    <mergeCell ref="E26:F26"/>
    <mergeCell ref="E27:F27"/>
    <mergeCell ref="E28:F28"/>
    <mergeCell ref="E29:F29"/>
    <mergeCell ref="E30:F30"/>
    <mergeCell ref="E31:F31"/>
    <mergeCell ref="E32:F32"/>
    <mergeCell ref="E33:F33"/>
    <mergeCell ref="E34:F34"/>
    <mergeCell ref="E35:F35"/>
    <mergeCell ref="B38:F38"/>
    <mergeCell ref="D39:F39"/>
    <mergeCell ref="D40:F40"/>
    <mergeCell ref="D41:F41"/>
    <mergeCell ref="D42:F42"/>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9:F29" xr:uid="{00000000-0002-0000-0000-000003000000}">
      <formula1>E29&gt;=100%</formula1>
    </dataValidation>
    <dataValidation type="decimal" allowBlank="1" showInputMessage="1" showErrorMessage="1" errorTitle="Financial Adviser Fee" error="The commission fee should be between 0% and 2% (Excluding VAT)._x000a_" promptTitle="Financial Adviser Fee on Growth " prompt="The commission fee should be between 0% and 2% (Excluding VAT)._x000a_" sqref="E22:F22" xr:uid="{00000000-0002-0000-0000-000004000000}">
      <formula1>0</formula1>
      <formula2>0.02</formula2>
    </dataValidation>
  </dataValidation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T135"/>
  <sheetViews>
    <sheetView showGridLines="0" tabSelected="1" view="pageBreakPreview" zoomScaleNormal="100" zoomScaleSheetLayoutView="100" workbookViewId="0">
      <selection activeCell="K1" sqref="K1:Q1048576"/>
    </sheetView>
  </sheetViews>
  <sheetFormatPr defaultColWidth="9.140625" defaultRowHeight="14.25" x14ac:dyDescent="0.2"/>
  <cols>
    <col min="1" max="1" width="1.7109375" style="1" customWidth="1"/>
    <col min="2" max="2" width="3.7109375" style="1" customWidth="1"/>
    <col min="3" max="3" width="25.5703125" style="1" customWidth="1"/>
    <col min="4" max="4" width="22.140625" style="1" customWidth="1"/>
    <col min="5" max="5" width="33.7109375" style="1" customWidth="1"/>
    <col min="6" max="6" width="25.140625" style="1" customWidth="1"/>
    <col min="7" max="7" width="25.85546875" style="1" customWidth="1"/>
    <col min="8" max="8" width="4" style="1" customWidth="1"/>
    <col min="9" max="9" width="47.85546875" style="1" hidden="1" customWidth="1"/>
    <col min="10" max="10" width="46.28515625" style="1" hidden="1" customWidth="1"/>
    <col min="11" max="11" width="18.140625" style="1" hidden="1" customWidth="1"/>
    <col min="12" max="12" width="24.85546875" style="1" hidden="1" customWidth="1"/>
    <col min="13" max="13" width="22.140625" style="1" hidden="1" customWidth="1"/>
    <col min="14" max="14" width="23.5703125" style="1" hidden="1" customWidth="1"/>
    <col min="15" max="15" width="22.7109375" style="1" hidden="1" customWidth="1"/>
    <col min="16" max="16" width="25.7109375" style="1" hidden="1" customWidth="1"/>
    <col min="17" max="17" width="24.85546875" style="1" hidden="1" customWidth="1"/>
    <col min="18" max="18" width="25" style="1" customWidth="1"/>
    <col min="19" max="19" width="35.7109375" style="1" customWidth="1"/>
    <col min="20" max="20" width="35.140625" style="1" customWidth="1"/>
    <col min="21" max="21" width="9.140625" style="1" customWidth="1"/>
    <col min="22" max="22" width="22.28515625" style="1" customWidth="1"/>
    <col min="23" max="23" width="12.5703125" style="1" customWidth="1"/>
    <col min="24" max="25" width="9.140625" style="1" customWidth="1"/>
    <col min="26" max="26" width="27.5703125" style="1" customWidth="1"/>
    <col min="27" max="16384" width="9.140625" style="1"/>
  </cols>
  <sheetData>
    <row r="1" spans="3:17" x14ac:dyDescent="0.2">
      <c r="M1" s="2" t="s">
        <v>0</v>
      </c>
      <c r="N1" s="3">
        <v>2</v>
      </c>
      <c r="P1" s="2" t="s">
        <v>1</v>
      </c>
      <c r="Q1" s="4">
        <v>7</v>
      </c>
    </row>
    <row r="2" spans="3:17" x14ac:dyDescent="0.2">
      <c r="C2" s="5"/>
      <c r="D2" s="5"/>
      <c r="E2" s="5"/>
      <c r="F2" s="5"/>
      <c r="G2" s="5"/>
      <c r="H2" s="5"/>
      <c r="I2" s="5"/>
      <c r="J2" s="6" t="s">
        <v>2</v>
      </c>
      <c r="K2" s="178">
        <v>45610</v>
      </c>
      <c r="M2" s="7" t="s">
        <v>3</v>
      </c>
      <c r="N2" s="8"/>
      <c r="P2" s="9" t="s">
        <v>4</v>
      </c>
      <c r="Q2" s="10"/>
    </row>
    <row r="3" spans="3:17" ht="15" x14ac:dyDescent="0.2">
      <c r="C3" s="11"/>
      <c r="D3" s="12"/>
      <c r="E3" s="12"/>
      <c r="F3" s="12"/>
      <c r="G3" s="12"/>
      <c r="H3" s="12"/>
      <c r="I3" s="12"/>
      <c r="J3" s="6" t="s">
        <v>5</v>
      </c>
      <c r="K3" s="178">
        <v>45632</v>
      </c>
      <c r="M3" s="13">
        <v>1</v>
      </c>
      <c r="N3" s="14">
        <v>0</v>
      </c>
      <c r="P3" s="13">
        <v>1</v>
      </c>
      <c r="Q3" s="14">
        <v>0.3</v>
      </c>
    </row>
    <row r="4" spans="3:17" ht="15" x14ac:dyDescent="0.2">
      <c r="C4" s="12"/>
      <c r="D4" s="12"/>
      <c r="E4" s="12"/>
      <c r="F4" s="12"/>
      <c r="G4" s="12"/>
      <c r="H4" s="12"/>
      <c r="I4" s="12"/>
      <c r="J4" s="2" t="s">
        <v>6</v>
      </c>
      <c r="K4" s="15">
        <v>100000</v>
      </c>
      <c r="M4" s="13">
        <v>2</v>
      </c>
      <c r="N4" s="14">
        <v>0.05</v>
      </c>
      <c r="P4" s="13">
        <v>2</v>
      </c>
      <c r="Q4" s="14">
        <v>0.25</v>
      </c>
    </row>
    <row r="5" spans="3:17" ht="17.45" customHeight="1" x14ac:dyDescent="0.2">
      <c r="C5" s="12"/>
      <c r="D5" s="12"/>
      <c r="E5" s="12"/>
      <c r="F5" s="12"/>
      <c r="G5" s="12"/>
      <c r="H5" s="12"/>
      <c r="I5" s="12"/>
      <c r="J5" s="16" t="s">
        <v>7</v>
      </c>
      <c r="K5" s="17">
        <v>0</v>
      </c>
      <c r="M5" s="13">
        <v>3</v>
      </c>
      <c r="N5" s="14">
        <v>0.1</v>
      </c>
      <c r="P5" s="13">
        <v>3</v>
      </c>
      <c r="Q5" s="14">
        <v>0.2</v>
      </c>
    </row>
    <row r="6" spans="3:17" ht="18.75" customHeight="1" x14ac:dyDescent="0.25">
      <c r="C6" s="286" t="s">
        <v>8</v>
      </c>
      <c r="D6" s="286"/>
      <c r="E6" s="286"/>
      <c r="F6" s="286"/>
      <c r="G6" s="286"/>
      <c r="H6" s="12"/>
      <c r="I6" s="12"/>
      <c r="J6" s="16" t="s">
        <v>122</v>
      </c>
      <c r="K6" s="18">
        <v>0.5</v>
      </c>
      <c r="M6" s="13">
        <v>4</v>
      </c>
      <c r="N6" s="14">
        <v>0.15</v>
      </c>
      <c r="P6" s="13">
        <v>4</v>
      </c>
      <c r="Q6" s="14">
        <v>0.15</v>
      </c>
    </row>
    <row r="7" spans="3:17" ht="33" customHeight="1" x14ac:dyDescent="0.2">
      <c r="C7" s="243" t="s">
        <v>143</v>
      </c>
      <c r="D7" s="243"/>
      <c r="E7" s="243"/>
      <c r="F7" s="243"/>
      <c r="G7" s="243"/>
      <c r="H7" s="12"/>
      <c r="I7" s="12"/>
      <c r="J7" s="16" t="s">
        <v>123</v>
      </c>
      <c r="K7" s="18">
        <v>2</v>
      </c>
      <c r="M7" s="13">
        <v>5</v>
      </c>
      <c r="N7" s="14">
        <v>0.2</v>
      </c>
      <c r="P7" s="13">
        <v>5</v>
      </c>
      <c r="Q7" s="14">
        <v>0.1</v>
      </c>
    </row>
    <row r="8" spans="3:17" ht="12.6" customHeight="1" x14ac:dyDescent="0.2">
      <c r="C8" s="107"/>
      <c r="D8" s="107"/>
      <c r="E8" s="107"/>
      <c r="F8" s="107"/>
      <c r="G8" s="107"/>
      <c r="H8" s="12"/>
      <c r="I8" s="12"/>
      <c r="J8" s="16"/>
      <c r="K8" s="18"/>
      <c r="M8" s="13">
        <v>6</v>
      </c>
      <c r="N8" s="14">
        <v>0.25</v>
      </c>
      <c r="P8" s="13">
        <v>6</v>
      </c>
      <c r="Q8" s="14">
        <v>0.05</v>
      </c>
    </row>
    <row r="9" spans="3:17" ht="33" customHeight="1" x14ac:dyDescent="0.2">
      <c r="C9" s="287" t="s">
        <v>144</v>
      </c>
      <c r="D9" s="287"/>
      <c r="E9" s="287"/>
      <c r="F9" s="287"/>
      <c r="G9" s="287"/>
      <c r="H9" s="12"/>
      <c r="I9" s="12"/>
      <c r="J9" s="16" t="s">
        <v>9</v>
      </c>
      <c r="K9" s="19" t="s">
        <v>129</v>
      </c>
      <c r="M9" s="13">
        <v>7</v>
      </c>
      <c r="N9" s="14">
        <v>0.3</v>
      </c>
      <c r="P9" s="13">
        <v>7</v>
      </c>
      <c r="Q9" s="14">
        <v>0</v>
      </c>
    </row>
    <row r="10" spans="3:17" ht="15.75" x14ac:dyDescent="0.25">
      <c r="C10" s="108"/>
      <c r="D10" s="108"/>
      <c r="E10" s="108"/>
      <c r="F10" s="108"/>
      <c r="G10" s="108"/>
      <c r="H10" s="12"/>
      <c r="I10" s="12"/>
      <c r="J10" s="16" t="s">
        <v>10</v>
      </c>
      <c r="K10" s="18">
        <v>0.12</v>
      </c>
      <c r="M10" s="13">
        <v>8</v>
      </c>
      <c r="N10" s="14">
        <v>0.35</v>
      </c>
      <c r="P10" s="13">
        <v>8</v>
      </c>
      <c r="Q10" s="14">
        <v>-0.05</v>
      </c>
    </row>
    <row r="11" spans="3:17" ht="15.75" x14ac:dyDescent="0.25">
      <c r="C11" s="288" t="s">
        <v>12</v>
      </c>
      <c r="D11" s="288"/>
      <c r="E11" s="288"/>
      <c r="F11" s="288"/>
      <c r="G11" s="288"/>
      <c r="H11" s="12"/>
      <c r="I11" s="12"/>
      <c r="J11" s="16" t="s">
        <v>11</v>
      </c>
      <c r="K11" s="18">
        <v>0.6</v>
      </c>
      <c r="M11" s="13">
        <v>9</v>
      </c>
      <c r="N11" s="14">
        <v>0.4</v>
      </c>
      <c r="P11" s="13">
        <v>9</v>
      </c>
      <c r="Q11" s="14">
        <v>-0.1</v>
      </c>
    </row>
    <row r="12" spans="3:17" ht="45.75" customHeight="1" x14ac:dyDescent="0.2">
      <c r="C12" s="266" t="s">
        <v>13</v>
      </c>
      <c r="D12" s="266"/>
      <c r="E12" s="266"/>
      <c r="F12" s="266"/>
      <c r="G12" s="266"/>
      <c r="H12" s="12"/>
      <c r="I12" s="12"/>
      <c r="M12" s="13">
        <v>10</v>
      </c>
      <c r="N12" s="14">
        <v>0.45</v>
      </c>
      <c r="P12" s="13">
        <v>10</v>
      </c>
      <c r="Q12" s="14">
        <v>-0.15</v>
      </c>
    </row>
    <row r="13" spans="3:17" ht="15" x14ac:dyDescent="0.2">
      <c r="C13" s="21"/>
      <c r="D13" s="21"/>
      <c r="E13" s="21"/>
      <c r="F13" s="21"/>
      <c r="G13" s="21"/>
      <c r="H13" s="12"/>
      <c r="I13" s="12"/>
      <c r="J13" s="20" t="s">
        <v>3</v>
      </c>
      <c r="K13" s="20" t="s">
        <v>14</v>
      </c>
      <c r="M13" s="13">
        <v>11</v>
      </c>
      <c r="N13" s="14">
        <v>0.5</v>
      </c>
      <c r="P13" s="13">
        <v>11</v>
      </c>
      <c r="Q13" s="14">
        <v>-0.2</v>
      </c>
    </row>
    <row r="14" spans="3:17" ht="32.25" customHeight="1" x14ac:dyDescent="0.2">
      <c r="C14" s="283" t="str">
        <f ca="1">IF(TODAY()&gt;K3,"Invalid Investment Quote. Please download the updated quote from https://ss.absa.co.za or contact us at aiss@absa.africa.","Investment Quote Validity: Valid from"&amp;" "&amp;TEXT(K2,"dd mmmm yyyy")&amp;" until "&amp;TEXT(K3,"dd mmmm yyyy"))</f>
        <v>Investment Quote Validity: Valid from 14 November 2024 until 06 December 2024</v>
      </c>
      <c r="D14" s="284"/>
      <c r="E14" s="284"/>
      <c r="F14" s="284"/>
      <c r="G14" s="285"/>
      <c r="H14" s="12"/>
      <c r="I14" s="12"/>
      <c r="J14" s="22">
        <v>0</v>
      </c>
      <c r="K14" s="23">
        <v>0</v>
      </c>
      <c r="M14" s="13">
        <v>12</v>
      </c>
      <c r="N14" s="14">
        <v>0.55000000000000004</v>
      </c>
      <c r="P14" s="13">
        <v>12</v>
      </c>
      <c r="Q14" s="14">
        <v>-0.25</v>
      </c>
    </row>
    <row r="15" spans="3:17" ht="15" x14ac:dyDescent="0.2">
      <c r="C15" s="25"/>
      <c r="D15" s="25"/>
      <c r="E15" s="25"/>
      <c r="F15" s="25"/>
      <c r="G15" s="25"/>
      <c r="H15" s="12"/>
      <c r="I15" s="12"/>
      <c r="J15" s="23">
        <v>0.2</v>
      </c>
      <c r="K15" s="24">
        <f>$K$8</f>
        <v>0</v>
      </c>
      <c r="M15" s="13">
        <v>13</v>
      </c>
      <c r="N15" s="14">
        <v>0.6</v>
      </c>
      <c r="P15" s="13">
        <v>13</v>
      </c>
      <c r="Q15" s="14">
        <v>-0.3</v>
      </c>
    </row>
    <row r="16" spans="3:17" ht="15.75" x14ac:dyDescent="0.25">
      <c r="C16" s="179" t="s">
        <v>15</v>
      </c>
      <c r="D16" s="180"/>
      <c r="E16" s="180"/>
      <c r="F16" s="180"/>
      <c r="G16" s="181"/>
      <c r="H16" s="12"/>
      <c r="I16" s="12"/>
      <c r="J16" s="26"/>
      <c r="M16" s="13">
        <v>14</v>
      </c>
      <c r="N16" s="14">
        <v>0.65</v>
      </c>
    </row>
    <row r="17" spans="3:14" ht="15" x14ac:dyDescent="0.2">
      <c r="C17" s="109" t="s">
        <v>17</v>
      </c>
      <c r="D17" s="110"/>
      <c r="E17" s="111"/>
      <c r="F17" s="111"/>
      <c r="G17" s="169">
        <f ca="1">IF(TODAY()&gt;K3,"",Input!$E$6)</f>
        <v>45611</v>
      </c>
      <c r="H17" s="12"/>
      <c r="I17" s="12"/>
      <c r="J17" s="27" t="s">
        <v>3</v>
      </c>
      <c r="K17" s="27" t="s">
        <v>16</v>
      </c>
      <c r="M17" s="13">
        <v>15</v>
      </c>
      <c r="N17" s="14">
        <v>0.7</v>
      </c>
    </row>
    <row r="18" spans="3:14" ht="15" x14ac:dyDescent="0.2">
      <c r="C18" s="112" t="s">
        <v>18</v>
      </c>
      <c r="D18" s="113"/>
      <c r="E18" s="114"/>
      <c r="F18" s="114"/>
      <c r="G18" s="170" t="str">
        <f ca="1">IF(TODAY()&gt;K3,"",Input!$E$11&amp;" "&amp;Input!$E$12&amp;" "&amp;Input!$E$13)</f>
        <v xml:space="preserve">  </v>
      </c>
      <c r="H18" s="12"/>
      <c r="I18" s="12"/>
      <c r="J18" s="28">
        <v>0</v>
      </c>
      <c r="K18" s="28">
        <v>0</v>
      </c>
    </row>
    <row r="19" spans="3:14" ht="15" x14ac:dyDescent="0.2">
      <c r="C19" s="112" t="s">
        <v>19</v>
      </c>
      <c r="D19" s="113"/>
      <c r="E19" s="114"/>
      <c r="F19" s="114"/>
      <c r="G19" s="171">
        <f ca="1">IF(TODAY()&gt;K3,"",Input!$E$14)</f>
        <v>0</v>
      </c>
      <c r="H19" s="12"/>
      <c r="I19" s="12"/>
      <c r="J19" s="28">
        <f>$K$11</f>
        <v>0.6</v>
      </c>
      <c r="K19" s="28">
        <f>$K$10</f>
        <v>0.12</v>
      </c>
    </row>
    <row r="20" spans="3:14" ht="15" x14ac:dyDescent="0.2">
      <c r="C20" s="112" t="s">
        <v>20</v>
      </c>
      <c r="D20" s="113"/>
      <c r="E20" s="114"/>
      <c r="F20" s="114"/>
      <c r="G20" s="172" t="str">
        <f ca="1">IF(TODAY()&gt;K3,"",Input!$E$36&amp;" Years")</f>
        <v>5 Years</v>
      </c>
      <c r="H20" s="12"/>
      <c r="I20" s="12"/>
      <c r="J20" s="29"/>
    </row>
    <row r="21" spans="3:14" ht="15" x14ac:dyDescent="0.2">
      <c r="C21" s="112" t="s">
        <v>21</v>
      </c>
      <c r="D21" s="113"/>
      <c r="E21" s="114"/>
      <c r="F21" s="114"/>
      <c r="G21" s="173">
        <f>Input!E30</f>
        <v>45638</v>
      </c>
      <c r="H21" s="12"/>
      <c r="I21" s="12"/>
      <c r="J21" s="30"/>
    </row>
    <row r="22" spans="3:14" ht="15" x14ac:dyDescent="0.2">
      <c r="C22" s="115" t="s">
        <v>22</v>
      </c>
      <c r="D22" s="116"/>
      <c r="E22" s="117"/>
      <c r="F22" s="117"/>
      <c r="G22" s="174">
        <f>Input!E33</f>
        <v>47464</v>
      </c>
      <c r="H22" s="12"/>
      <c r="I22" s="32"/>
      <c r="J22" s="31"/>
    </row>
    <row r="23" spans="3:14" ht="15" x14ac:dyDescent="0.2">
      <c r="C23" s="33"/>
      <c r="D23" s="33"/>
      <c r="E23" s="33"/>
      <c r="F23" s="33"/>
      <c r="G23" s="34"/>
      <c r="H23" s="12"/>
      <c r="I23" s="32"/>
      <c r="J23" s="31"/>
    </row>
    <row r="24" spans="3:14" ht="15.75" x14ac:dyDescent="0.25">
      <c r="C24" s="179" t="s">
        <v>23</v>
      </c>
      <c r="D24" s="180"/>
      <c r="E24" s="180"/>
      <c r="F24" s="180"/>
      <c r="G24" s="181"/>
      <c r="H24" s="12"/>
      <c r="I24" s="32"/>
      <c r="J24" s="34"/>
    </row>
    <row r="25" spans="3:14" ht="15.75" x14ac:dyDescent="0.25">
      <c r="C25" s="118" t="s">
        <v>24</v>
      </c>
      <c r="D25" s="114"/>
      <c r="E25" s="114"/>
      <c r="F25" s="119"/>
      <c r="G25" s="175" t="str">
        <f ca="1">IF(TODAY()&gt;K3,"",Input!$E$17&amp;" "&amp;Input!$E$18&amp;" "&amp;Input!$E$19)</f>
        <v xml:space="preserve">  </v>
      </c>
      <c r="H25" s="12"/>
      <c r="I25" s="32"/>
      <c r="J25" s="35"/>
    </row>
    <row r="26" spans="3:14" ht="15" x14ac:dyDescent="0.2">
      <c r="C26" s="118" t="s">
        <v>25</v>
      </c>
      <c r="D26" s="114"/>
      <c r="E26" s="114"/>
      <c r="F26" s="119"/>
      <c r="G26" s="175" t="str">
        <f ca="1">IF(TODAY()&gt;K3,"",Input!$E$20&amp;"")</f>
        <v/>
      </c>
      <c r="H26" s="12"/>
      <c r="I26" s="12"/>
      <c r="J26" s="37"/>
    </row>
    <row r="27" spans="3:14" ht="15" x14ac:dyDescent="0.2">
      <c r="C27" s="118" t="s">
        <v>26</v>
      </c>
      <c r="D27" s="114"/>
      <c r="E27" s="114"/>
      <c r="F27" s="119"/>
      <c r="G27" s="176">
        <f ca="1">IF(TODAY()&gt;K3,"",Input!$E$22*SUM(1,Input!$M$1))</f>
        <v>2.3E-2</v>
      </c>
      <c r="H27" s="12"/>
      <c r="I27" s="12"/>
      <c r="J27" s="38"/>
    </row>
    <row r="28" spans="3:14" ht="15" x14ac:dyDescent="0.2">
      <c r="C28" s="120" t="s">
        <v>27</v>
      </c>
      <c r="D28" s="117"/>
      <c r="E28" s="117"/>
      <c r="F28" s="121"/>
      <c r="G28" s="177">
        <f ca="1">IFERROR($G$27*Input!E25,"")</f>
        <v>2300</v>
      </c>
      <c r="H28" s="12"/>
      <c r="I28" s="12"/>
      <c r="J28" s="37"/>
    </row>
    <row r="29" spans="3:14" ht="15.75" x14ac:dyDescent="0.25">
      <c r="C29" s="40"/>
      <c r="D29" s="33"/>
      <c r="E29" s="33"/>
      <c r="F29" s="33"/>
      <c r="G29" s="33"/>
      <c r="H29" s="12"/>
      <c r="I29" s="12"/>
      <c r="J29" s="39"/>
    </row>
    <row r="30" spans="3:14" ht="15.75" x14ac:dyDescent="0.25">
      <c r="C30" s="179" t="s">
        <v>28</v>
      </c>
      <c r="D30" s="180"/>
      <c r="E30" s="180"/>
      <c r="F30" s="180"/>
      <c r="G30" s="181"/>
      <c r="H30" s="12"/>
      <c r="I30" s="12"/>
      <c r="J30" s="33"/>
    </row>
    <row r="31" spans="3:14" ht="15.75" x14ac:dyDescent="0.25">
      <c r="C31" s="118" t="s">
        <v>29</v>
      </c>
      <c r="D31" s="122"/>
      <c r="E31" s="122"/>
      <c r="F31" s="122"/>
      <c r="G31" s="123">
        <f ca="1">IF(TODAY()&gt;K3,"",Input!$E$25)*Input!E26</f>
        <v>100000</v>
      </c>
      <c r="H31" s="12"/>
      <c r="I31" s="12"/>
      <c r="J31" s="35"/>
    </row>
    <row r="32" spans="3:14" ht="15" x14ac:dyDescent="0.2">
      <c r="C32" s="124"/>
      <c r="D32" s="125"/>
      <c r="E32" s="125"/>
      <c r="F32" s="125"/>
      <c r="G32" s="126"/>
      <c r="H32" s="12"/>
      <c r="I32" s="12"/>
      <c r="J32" s="39"/>
    </row>
    <row r="33" spans="3:20" ht="15.75" x14ac:dyDescent="0.25">
      <c r="C33" s="179" t="s">
        <v>30</v>
      </c>
      <c r="D33" s="180"/>
      <c r="E33" s="180"/>
      <c r="F33" s="180"/>
      <c r="G33" s="181"/>
      <c r="H33" s="12"/>
      <c r="I33" s="12"/>
      <c r="J33" s="12"/>
    </row>
    <row r="34" spans="3:20" ht="15.75" x14ac:dyDescent="0.25">
      <c r="C34" s="127" t="s">
        <v>31</v>
      </c>
      <c r="D34" s="128"/>
      <c r="E34" s="128"/>
      <c r="F34" s="128"/>
      <c r="G34" s="135">
        <f ca="1">IFERROR($G$31/2,"")</f>
        <v>50000</v>
      </c>
      <c r="H34" s="12"/>
      <c r="I34" s="12"/>
      <c r="J34" s="35"/>
    </row>
    <row r="35" spans="3:20" ht="15" x14ac:dyDescent="0.2">
      <c r="C35" s="127" t="s">
        <v>32</v>
      </c>
      <c r="D35" s="129"/>
      <c r="E35" s="129"/>
      <c r="F35" s="129"/>
      <c r="G35" s="139">
        <f>Input!E32</f>
        <v>46003</v>
      </c>
      <c r="H35" s="12"/>
      <c r="I35" s="12"/>
      <c r="J35" s="39"/>
    </row>
    <row r="36" spans="3:20" ht="15" x14ac:dyDescent="0.2">
      <c r="C36" s="127" t="s">
        <v>134</v>
      </c>
      <c r="D36" s="129"/>
      <c r="E36" s="129"/>
      <c r="F36" s="129"/>
      <c r="G36" s="140">
        <f>Input!E27</f>
        <v>0.122</v>
      </c>
      <c r="H36" s="12"/>
      <c r="I36" s="12"/>
      <c r="J36" s="29"/>
    </row>
    <row r="37" spans="3:20" ht="15" x14ac:dyDescent="0.2">
      <c r="C37" s="127" t="s">
        <v>135</v>
      </c>
      <c r="D37" s="129"/>
      <c r="E37" s="129"/>
      <c r="F37" s="129"/>
      <c r="G37" s="138">
        <f ca="1">IFERROR($G$34*SUM(1,$G$36),"")</f>
        <v>56099.999999999993</v>
      </c>
      <c r="H37" s="12"/>
      <c r="I37" s="12"/>
      <c r="J37" s="37"/>
      <c r="T37" s="42"/>
    </row>
    <row r="38" spans="3:20" ht="15" customHeight="1" x14ac:dyDescent="0.2">
      <c r="C38" s="130"/>
      <c r="D38" s="131"/>
      <c r="E38" s="131"/>
      <c r="F38" s="131"/>
      <c r="G38" s="132"/>
      <c r="H38" s="12"/>
      <c r="I38" s="12"/>
      <c r="J38" s="39"/>
    </row>
    <row r="39" spans="3:20" ht="15.75" customHeight="1" x14ac:dyDescent="0.2">
      <c r="C39" s="255" t="s">
        <v>33</v>
      </c>
      <c r="D39" s="256"/>
      <c r="E39" s="256"/>
      <c r="F39" s="256"/>
      <c r="G39" s="257"/>
      <c r="H39" s="12"/>
      <c r="I39" s="12"/>
      <c r="J39" s="43"/>
    </row>
    <row r="40" spans="3:20" ht="15.75" x14ac:dyDescent="0.25">
      <c r="C40" s="44"/>
      <c r="D40" s="44"/>
      <c r="E40" s="44"/>
      <c r="F40" s="44"/>
      <c r="G40" s="44"/>
      <c r="H40" s="12"/>
      <c r="I40" s="12"/>
      <c r="J40" s="26"/>
    </row>
    <row r="41" spans="3:20" ht="15.75" x14ac:dyDescent="0.25">
      <c r="C41" s="179" t="s">
        <v>34</v>
      </c>
      <c r="D41" s="180"/>
      <c r="E41" s="180"/>
      <c r="F41" s="180"/>
      <c r="G41" s="181"/>
      <c r="H41" s="12"/>
      <c r="I41" s="12"/>
      <c r="J41" s="44"/>
    </row>
    <row r="42" spans="3:20" ht="15.75" x14ac:dyDescent="0.25">
      <c r="C42" s="133" t="s">
        <v>31</v>
      </c>
      <c r="D42" s="134"/>
      <c r="E42" s="134"/>
      <c r="F42" s="134"/>
      <c r="G42" s="135">
        <f ca="1">IFERROR($G$31/2,"")</f>
        <v>50000</v>
      </c>
      <c r="H42" s="12"/>
      <c r="I42" s="12"/>
      <c r="J42" s="35"/>
    </row>
    <row r="43" spans="3:20" ht="15" x14ac:dyDescent="0.2">
      <c r="C43" s="136" t="s">
        <v>35</v>
      </c>
      <c r="D43" s="137"/>
      <c r="E43" s="137"/>
      <c r="F43" s="137"/>
      <c r="G43" s="138">
        <f ca="1">$G$42</f>
        <v>50000</v>
      </c>
      <c r="H43" s="12"/>
      <c r="I43" s="12"/>
      <c r="J43" s="39"/>
    </row>
    <row r="44" spans="3:20" ht="15" x14ac:dyDescent="0.2">
      <c r="C44" s="136" t="s">
        <v>9</v>
      </c>
      <c r="D44" s="137"/>
      <c r="E44" s="137"/>
      <c r="F44" s="137"/>
      <c r="G44" s="138" t="str">
        <f>K9</f>
        <v>BNP Paribas Multi-asset Global Diversified Index</v>
      </c>
      <c r="H44" s="12"/>
      <c r="I44" s="12"/>
      <c r="J44" s="39"/>
    </row>
    <row r="45" spans="3:20" ht="15" x14ac:dyDescent="0.2">
      <c r="C45" s="136" t="s">
        <v>36</v>
      </c>
      <c r="D45" s="137"/>
      <c r="E45" s="137"/>
      <c r="F45" s="137"/>
      <c r="G45" s="139">
        <f>Input!E31</f>
        <v>45639</v>
      </c>
      <c r="H45" s="12"/>
      <c r="I45" s="12"/>
      <c r="J45" s="39"/>
    </row>
    <row r="46" spans="3:20" ht="15" x14ac:dyDescent="0.2">
      <c r="C46" s="136" t="s">
        <v>32</v>
      </c>
      <c r="D46" s="137"/>
      <c r="E46" s="137"/>
      <c r="F46" s="137"/>
      <c r="G46" s="139">
        <f>Input!E33</f>
        <v>47464</v>
      </c>
      <c r="H46" s="12"/>
      <c r="I46" s="12"/>
      <c r="J46" s="29"/>
    </row>
    <row r="47" spans="3:20" ht="15" x14ac:dyDescent="0.2">
      <c r="C47" s="136" t="str">
        <f>$J$6</f>
        <v>Maximum Index Performance</v>
      </c>
      <c r="D47" s="137"/>
      <c r="E47" s="137"/>
      <c r="F47" s="137"/>
      <c r="G47" s="140">
        <f>$K$6</f>
        <v>0.5</v>
      </c>
      <c r="H47" s="12"/>
      <c r="I47" s="12"/>
      <c r="J47" s="29"/>
    </row>
    <row r="48" spans="3:20" ht="15" x14ac:dyDescent="0.2">
      <c r="C48" s="136" t="str">
        <f>$J$7</f>
        <v>Participation Rate</v>
      </c>
      <c r="D48" s="137"/>
      <c r="E48" s="137"/>
      <c r="F48" s="137"/>
      <c r="G48" s="140">
        <f>$K$7</f>
        <v>2</v>
      </c>
      <c r="H48" s="12"/>
      <c r="I48" s="12"/>
      <c r="J48" s="39"/>
    </row>
    <row r="49" spans="3:11" ht="15" x14ac:dyDescent="0.2">
      <c r="C49" s="136" t="s">
        <v>37</v>
      </c>
      <c r="D49" s="137"/>
      <c r="E49" s="137"/>
      <c r="F49" s="137"/>
      <c r="G49" s="138" t="str">
        <f ca="1">IF(TODAY()&gt;K3,"",Input!$E$35)</f>
        <v>Market Linked</v>
      </c>
      <c r="H49" s="12"/>
      <c r="I49" s="12"/>
      <c r="J49" s="39"/>
    </row>
    <row r="50" spans="3:11" ht="15" x14ac:dyDescent="0.2">
      <c r="C50" s="118" t="s">
        <v>148</v>
      </c>
      <c r="D50" s="137"/>
      <c r="E50" s="137"/>
      <c r="F50" s="137"/>
      <c r="G50" s="140">
        <f ca="1">IF(TODAY()&gt;$K$3,"",MAX(0%,MIN(INDEX($N$3:$N$17,MATCH($N$1,$M$3:$M$17,0),1),$K$6))*$K$7*SUM(1,INDEX($Q$3:$Q$15,MATCH($Q$1,$P$3:$P$15,0),1)))</f>
        <v>0.1</v>
      </c>
      <c r="H50" s="12"/>
      <c r="I50" s="37"/>
      <c r="J50" s="37"/>
    </row>
    <row r="51" spans="3:11" ht="15" x14ac:dyDescent="0.2">
      <c r="C51" s="118" t="s">
        <v>149</v>
      </c>
      <c r="D51" s="137"/>
      <c r="E51" s="137"/>
      <c r="F51" s="137"/>
      <c r="G51" s="138">
        <f ca="1">IF(TODAY()&gt;$K$3,"",IFERROR($G$42*SUM(1,$G$50),""))</f>
        <v>55000.000000000007</v>
      </c>
      <c r="H51" s="12"/>
      <c r="I51" s="12"/>
      <c r="J51" s="39"/>
      <c r="K51" s="46"/>
    </row>
    <row r="52" spans="3:11" ht="19.5" customHeight="1" x14ac:dyDescent="0.2">
      <c r="C52" s="47" t="s">
        <v>38</v>
      </c>
      <c r="D52" s="45"/>
      <c r="E52" s="45"/>
      <c r="F52" s="45"/>
      <c r="G52" s="41"/>
      <c r="H52" s="12"/>
      <c r="I52" s="12"/>
      <c r="J52" s="39"/>
    </row>
    <row r="53" spans="3:11" ht="22.5" customHeight="1" x14ac:dyDescent="0.2">
      <c r="C53" s="36" t="str">
        <f>IF(INDEX($Q$3:$Q$15,MATCH($Q$1,$P$3:$P$15,0),1)&gt;0,"Foreign Exchange Rate Movement (Rand Weakness)",IF(INDEX($Q$3:$Q$15,MATCH($Q$1,$P$3:$P$15,0),1)&lt;0,"Foreign Exchange Rate Movement (Rand Strengthening)","Foreign Exchange Rate Movement"))</f>
        <v>Foreign Exchange Rate Movement</v>
      </c>
      <c r="D53" s="45"/>
      <c r="E53" s="45"/>
      <c r="F53" s="45"/>
      <c r="G53" s="41"/>
      <c r="H53" s="12"/>
      <c r="I53" s="12"/>
      <c r="J53" s="48"/>
    </row>
    <row r="54" spans="3:11" ht="11.1" customHeight="1" x14ac:dyDescent="0.2">
      <c r="C54" s="36"/>
      <c r="D54" s="45"/>
      <c r="E54" s="45"/>
      <c r="F54" s="45"/>
      <c r="G54" s="41"/>
      <c r="H54" s="12"/>
      <c r="I54" s="12"/>
      <c r="J54" s="49"/>
    </row>
    <row r="55" spans="3:11" ht="21" customHeight="1" x14ac:dyDescent="0.2">
      <c r="C55" s="255" t="s">
        <v>39</v>
      </c>
      <c r="D55" s="256"/>
      <c r="E55" s="256"/>
      <c r="F55" s="256"/>
      <c r="G55" s="257"/>
      <c r="H55" s="12"/>
      <c r="I55" s="12"/>
      <c r="J55" s="49"/>
    </row>
    <row r="56" spans="3:11" ht="15.75" x14ac:dyDescent="0.25">
      <c r="C56" s="44"/>
      <c r="D56" s="44"/>
      <c r="E56" s="44"/>
      <c r="F56" s="44"/>
      <c r="G56" s="44"/>
      <c r="H56" s="44"/>
      <c r="J56" s="44"/>
    </row>
    <row r="57" spans="3:11" ht="25.5" customHeight="1" x14ac:dyDescent="0.25">
      <c r="C57" s="44"/>
      <c r="D57" s="44"/>
      <c r="E57" s="44"/>
      <c r="F57" s="44"/>
      <c r="G57" s="44"/>
      <c r="H57" s="44"/>
      <c r="J57" s="44"/>
    </row>
    <row r="58" spans="3:11" ht="22.5" customHeight="1" x14ac:dyDescent="0.25">
      <c r="C58" s="44"/>
      <c r="D58" s="44"/>
      <c r="E58" s="44"/>
      <c r="F58" s="44"/>
      <c r="G58" s="44"/>
      <c r="H58" s="44"/>
      <c r="J58" s="44"/>
    </row>
    <row r="59" spans="3:11" ht="17.100000000000001" customHeight="1" x14ac:dyDescent="0.25">
      <c r="C59" s="141"/>
      <c r="D59" s="141"/>
      <c r="E59" s="142"/>
      <c r="F59" s="142"/>
      <c r="G59" s="142"/>
      <c r="H59" s="142"/>
      <c r="J59" s="142"/>
    </row>
    <row r="60" spans="3:11" ht="17.100000000000001" customHeight="1" x14ac:dyDescent="0.25">
      <c r="C60" s="141" t="s">
        <v>40</v>
      </c>
      <c r="D60" s="141"/>
      <c r="E60" s="142"/>
      <c r="F60" s="142"/>
      <c r="G60" s="142"/>
      <c r="H60" s="142"/>
      <c r="J60" s="142"/>
    </row>
    <row r="61" spans="3:11" ht="23.25" customHeight="1" x14ac:dyDescent="0.25">
      <c r="C61" s="277" t="s">
        <v>41</v>
      </c>
      <c r="D61" s="278"/>
      <c r="E61" s="278"/>
      <c r="F61" s="278"/>
      <c r="G61" s="279"/>
      <c r="H61" s="12"/>
      <c r="I61" s="12"/>
      <c r="J61" s="35"/>
    </row>
    <row r="62" spans="3:11" ht="42" customHeight="1" x14ac:dyDescent="0.2">
      <c r="C62" s="280" t="s">
        <v>128</v>
      </c>
      <c r="D62" s="281"/>
      <c r="E62" s="281"/>
      <c r="F62" s="281"/>
      <c r="G62" s="282"/>
      <c r="H62" s="12"/>
      <c r="I62" s="12"/>
      <c r="J62" s="50"/>
    </row>
    <row r="63" spans="3:11" ht="15.75" customHeight="1" x14ac:dyDescent="0.2">
      <c r="C63" s="268" t="s">
        <v>42</v>
      </c>
      <c r="D63" s="229"/>
      <c r="E63" s="229"/>
      <c r="F63" s="229"/>
      <c r="G63" s="264"/>
      <c r="H63" s="12"/>
      <c r="I63" s="12"/>
      <c r="J63" s="21"/>
    </row>
    <row r="64" spans="3:11" ht="28.5" customHeight="1" x14ac:dyDescent="0.2">
      <c r="C64" s="268" t="s">
        <v>124</v>
      </c>
      <c r="D64" s="229"/>
      <c r="E64" s="229"/>
      <c r="F64" s="229"/>
      <c r="G64" s="264"/>
      <c r="H64" s="12"/>
      <c r="I64" s="12"/>
      <c r="J64" s="51"/>
    </row>
    <row r="65" spans="3:10" ht="45.75" customHeight="1" x14ac:dyDescent="0.2">
      <c r="C65" s="261" t="str">
        <f>"4. The Index Linked Return is payable if the Index performance is equal to or above the initial index level at the end of 5 years, capped at a Maximum Index Performance level of "&amp;TEXT($K$6,"0.00%")&amp;", further enhanced by multiplying the Index Linked Return by the "&amp;TEXT($K$7,"0.00%")&amp;" "&amp;TEXT($J$7,0)&amp;"."</f>
        <v>4. The Index Linked Return is payable if the Index performance is equal to or above the initial index level at the end of 5 years, capped at a Maximum Index Performance level of 50.00%, further enhanced by multiplying the Index Linked Return by the 200.00% Participation Rate.</v>
      </c>
      <c r="D65" s="262"/>
      <c r="E65" s="262"/>
      <c r="F65" s="262"/>
      <c r="G65" s="263"/>
      <c r="H65" s="12"/>
      <c r="I65" s="12"/>
      <c r="J65" s="51"/>
    </row>
    <row r="66" spans="3:10" ht="36" customHeight="1" x14ac:dyDescent="0.2">
      <c r="C66" s="261" t="s">
        <v>126</v>
      </c>
      <c r="D66" s="262"/>
      <c r="E66" s="262"/>
      <c r="F66" s="262"/>
      <c r="G66" s="263"/>
      <c r="H66" s="12"/>
      <c r="I66" s="12"/>
      <c r="J66" s="51"/>
    </row>
    <row r="67" spans="3:10" ht="18.75" customHeight="1" x14ac:dyDescent="0.2">
      <c r="C67" s="261" t="s">
        <v>125</v>
      </c>
      <c r="D67" s="262"/>
      <c r="E67" s="262"/>
      <c r="F67" s="262"/>
      <c r="G67" s="263"/>
      <c r="H67" s="12"/>
      <c r="I67" s="12"/>
      <c r="J67" s="51"/>
    </row>
    <row r="68" spans="3:10" ht="45" customHeight="1" x14ac:dyDescent="0.2">
      <c r="C68" s="228" t="s">
        <v>136</v>
      </c>
      <c r="D68" s="229"/>
      <c r="E68" s="229"/>
      <c r="F68" s="229"/>
      <c r="G68" s="264"/>
      <c r="H68" s="12"/>
      <c r="I68" s="12"/>
      <c r="J68" s="51"/>
    </row>
    <row r="69" spans="3:10" ht="27.75" customHeight="1" x14ac:dyDescent="0.2">
      <c r="C69" s="265" t="s">
        <v>137</v>
      </c>
      <c r="D69" s="266"/>
      <c r="E69" s="266"/>
      <c r="F69" s="266"/>
      <c r="G69" s="267"/>
      <c r="H69" s="12"/>
      <c r="I69" s="12"/>
      <c r="J69" s="51"/>
    </row>
    <row r="70" spans="3:10" ht="20.25" customHeight="1" x14ac:dyDescent="0.2">
      <c r="C70" s="268" t="s">
        <v>138</v>
      </c>
      <c r="D70" s="229"/>
      <c r="E70" s="229"/>
      <c r="F70" s="229"/>
      <c r="G70" s="264"/>
      <c r="H70" s="12"/>
      <c r="I70" s="12"/>
      <c r="J70" s="51"/>
    </row>
    <row r="71" spans="3:10" ht="32.25" customHeight="1" x14ac:dyDescent="0.2">
      <c r="C71" s="269" t="s">
        <v>140</v>
      </c>
      <c r="D71" s="270"/>
      <c r="E71" s="270"/>
      <c r="F71" s="270"/>
      <c r="G71" s="271"/>
      <c r="H71" s="12"/>
      <c r="I71" s="12"/>
      <c r="J71" s="51"/>
    </row>
    <row r="72" spans="3:10" ht="32.25" customHeight="1" x14ac:dyDescent="0.2">
      <c r="C72" s="261" t="s">
        <v>141</v>
      </c>
      <c r="D72" s="272"/>
      <c r="E72" s="272"/>
      <c r="F72" s="272"/>
      <c r="G72" s="273"/>
      <c r="H72" s="12"/>
      <c r="I72" s="12"/>
      <c r="J72" s="52"/>
    </row>
    <row r="73" spans="3:10" ht="18" customHeight="1" x14ac:dyDescent="0.2">
      <c r="C73" s="274" t="s">
        <v>142</v>
      </c>
      <c r="D73" s="275"/>
      <c r="E73" s="275"/>
      <c r="F73" s="275"/>
      <c r="G73" s="276"/>
      <c r="H73" s="12"/>
      <c r="I73" s="12"/>
      <c r="J73" s="53"/>
    </row>
    <row r="74" spans="3:10" ht="15" x14ac:dyDescent="0.2">
      <c r="C74" s="53"/>
      <c r="D74" s="53"/>
      <c r="E74" s="53"/>
      <c r="F74" s="53"/>
      <c r="G74" s="53"/>
      <c r="H74" s="53"/>
      <c r="I74" s="12"/>
      <c r="J74" s="53"/>
    </row>
    <row r="75" spans="3:10" ht="15.75" x14ac:dyDescent="0.25">
      <c r="C75" s="179" t="s">
        <v>43</v>
      </c>
      <c r="D75" s="180"/>
      <c r="E75" s="180"/>
      <c r="F75" s="180"/>
      <c r="G75" s="181"/>
      <c r="H75" s="53"/>
      <c r="I75" s="12"/>
      <c r="J75" s="53"/>
    </row>
    <row r="76" spans="3:10" ht="36" customHeight="1" x14ac:dyDescent="0.25">
      <c r="C76" s="258"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76" s="259"/>
      <c r="E76" s="259"/>
      <c r="F76" s="259"/>
      <c r="G76" s="260"/>
      <c r="H76" s="53"/>
      <c r="I76" s="12"/>
      <c r="J76" s="35"/>
    </row>
    <row r="77" spans="3:10" ht="18.75" customHeight="1" x14ac:dyDescent="0.2">
      <c r="C77" s="54"/>
      <c r="D77" s="55"/>
      <c r="E77" s="55"/>
      <c r="F77" s="55"/>
      <c r="G77" s="56"/>
      <c r="H77" s="53"/>
      <c r="I77" s="12"/>
      <c r="J77" s="26"/>
    </row>
    <row r="78" spans="3:10" ht="19.5" customHeight="1" x14ac:dyDescent="0.2">
      <c r="C78" s="143"/>
      <c r="D78" s="144" t="s">
        <v>44</v>
      </c>
      <c r="E78" s="145" t="s">
        <v>45</v>
      </c>
      <c r="F78" s="248" t="s">
        <v>46</v>
      </c>
      <c r="G78" s="249"/>
      <c r="H78" s="53"/>
      <c r="I78" s="12"/>
      <c r="J78" s="26"/>
    </row>
    <row r="79" spans="3:10" ht="35.25" customHeight="1" x14ac:dyDescent="0.2">
      <c r="C79" s="58" t="s">
        <v>47</v>
      </c>
      <c r="D79" s="146">
        <f>Input!$C$40</f>
        <v>0.01</v>
      </c>
      <c r="E79" s="147" t="s">
        <v>131</v>
      </c>
      <c r="F79" s="250" t="str">
        <f>Input!$D$40</f>
        <v>Upfront as a percentage of the investment amount.</v>
      </c>
      <c r="G79" s="251"/>
      <c r="H79" s="53"/>
      <c r="I79" s="12"/>
      <c r="J79" s="57"/>
    </row>
    <row r="80" spans="3:10" ht="48" customHeight="1" x14ac:dyDescent="0.2">
      <c r="C80" s="58" t="s">
        <v>48</v>
      </c>
      <c r="D80" s="146">
        <f>Input!$C$41</f>
        <v>1.4999999999999999E-2</v>
      </c>
      <c r="E80" s="147" t="s">
        <v>145</v>
      </c>
      <c r="F80" s="250" t="str">
        <f>Input!$D$41</f>
        <v>Inclusive of VAT. Upfront as a percentage of the investment amount.</v>
      </c>
      <c r="G80" s="251"/>
      <c r="H80" s="53"/>
      <c r="I80" s="12"/>
      <c r="J80" s="59"/>
    </row>
    <row r="81" spans="3:10" ht="49.5" customHeight="1" x14ac:dyDescent="0.2">
      <c r="C81" s="58" t="s">
        <v>49</v>
      </c>
      <c r="D81" s="146">
        <f>Input!$C$42</f>
        <v>2.3E-2</v>
      </c>
      <c r="E81" s="147" t="s">
        <v>50</v>
      </c>
      <c r="F81" s="250" t="str">
        <f>Input!$D$42</f>
        <v>Inclusive of VAT. Upfront as a percentage of the investment amount.</v>
      </c>
      <c r="G81" s="251"/>
      <c r="H81" s="53"/>
      <c r="I81" s="12"/>
      <c r="J81" s="59"/>
    </row>
    <row r="82" spans="3:10" ht="15" x14ac:dyDescent="0.2">
      <c r="C82" s="51"/>
      <c r="D82" s="51"/>
      <c r="E82" s="51"/>
      <c r="F82" s="51"/>
      <c r="G82" s="51"/>
      <c r="H82" s="53"/>
      <c r="I82" s="12"/>
      <c r="J82" s="59"/>
    </row>
    <row r="83" spans="3:10" ht="15.75" customHeight="1" x14ac:dyDescent="0.25">
      <c r="C83" s="179" t="s">
        <v>51</v>
      </c>
      <c r="D83" s="180"/>
      <c r="E83" s="180"/>
      <c r="F83" s="180"/>
      <c r="G83" s="181"/>
      <c r="H83" s="53"/>
      <c r="I83" s="12"/>
      <c r="J83" s="51"/>
    </row>
    <row r="84" spans="3:10" ht="63.75" customHeight="1" x14ac:dyDescent="0.25">
      <c r="C84" s="252" t="s">
        <v>52</v>
      </c>
      <c r="D84" s="253"/>
      <c r="E84" s="253"/>
      <c r="F84" s="253"/>
      <c r="G84" s="254"/>
      <c r="H84" s="53"/>
      <c r="I84" s="12"/>
      <c r="J84" s="35"/>
    </row>
    <row r="85" spans="3:10" ht="64.5" customHeight="1" x14ac:dyDescent="0.2">
      <c r="C85" s="255" t="s">
        <v>53</v>
      </c>
      <c r="D85" s="256"/>
      <c r="E85" s="256"/>
      <c r="F85" s="256"/>
      <c r="G85" s="257"/>
      <c r="H85" s="53"/>
      <c r="I85" s="12"/>
      <c r="J85" s="60"/>
    </row>
    <row r="86" spans="3:10" ht="13.5" customHeight="1" x14ac:dyDescent="0.25">
      <c r="C86" s="61"/>
      <c r="D86" s="40"/>
      <c r="E86" s="40"/>
      <c r="F86" s="40"/>
      <c r="G86" s="40"/>
      <c r="H86" s="53"/>
      <c r="I86" s="12"/>
      <c r="J86" s="26"/>
    </row>
    <row r="87" spans="3:10" ht="15.75" x14ac:dyDescent="0.25">
      <c r="C87" s="179" t="s">
        <v>54</v>
      </c>
      <c r="D87" s="180"/>
      <c r="E87" s="180"/>
      <c r="F87" s="180"/>
      <c r="G87" s="181"/>
      <c r="H87" s="53"/>
      <c r="I87" s="12"/>
      <c r="J87" s="40"/>
    </row>
    <row r="88" spans="3:10" ht="31.5" customHeight="1" x14ac:dyDescent="0.25">
      <c r="C88" s="236" t="s">
        <v>55</v>
      </c>
      <c r="D88" s="237"/>
      <c r="E88" s="237"/>
      <c r="F88" s="237"/>
      <c r="G88" s="238"/>
      <c r="H88" s="53"/>
      <c r="I88" s="12"/>
      <c r="J88" s="35"/>
    </row>
    <row r="89" spans="3:10" ht="15" x14ac:dyDescent="0.2">
      <c r="C89" s="51"/>
      <c r="D89" s="51"/>
      <c r="E89" s="51"/>
      <c r="F89" s="51"/>
      <c r="G89" s="51"/>
      <c r="H89" s="51"/>
      <c r="I89" s="12"/>
      <c r="J89" s="62"/>
    </row>
    <row r="90" spans="3:10" ht="15" x14ac:dyDescent="0.2">
      <c r="C90" s="51"/>
      <c r="D90" s="51"/>
      <c r="E90" s="51"/>
      <c r="F90" s="51"/>
      <c r="G90" s="51"/>
      <c r="H90" s="51"/>
      <c r="I90" s="12"/>
      <c r="J90" s="51"/>
    </row>
    <row r="91" spans="3:10" ht="18" customHeight="1" x14ac:dyDescent="0.2">
      <c r="C91" s="51"/>
      <c r="D91" s="51"/>
      <c r="E91" s="51"/>
      <c r="F91" s="51"/>
      <c r="G91" s="51"/>
      <c r="H91" s="51"/>
      <c r="I91" s="12"/>
      <c r="J91" s="51"/>
    </row>
    <row r="92" spans="3:10" ht="15" x14ac:dyDescent="0.2">
      <c r="C92" s="51"/>
      <c r="D92" s="51"/>
      <c r="E92" s="51"/>
      <c r="F92" s="51"/>
      <c r="G92" s="51"/>
      <c r="H92" s="51"/>
      <c r="I92" s="12"/>
      <c r="J92" s="51"/>
    </row>
    <row r="93" spans="3:10" ht="19.5" customHeight="1" x14ac:dyDescent="0.2">
      <c r="C93" s="51"/>
      <c r="D93" s="51"/>
      <c r="E93" s="51"/>
      <c r="F93" s="51"/>
      <c r="G93" s="51"/>
      <c r="H93" s="51"/>
      <c r="I93" s="12"/>
      <c r="J93" s="51"/>
    </row>
    <row r="94" spans="3:10" ht="15.75" x14ac:dyDescent="0.25">
      <c r="C94" s="179" t="s">
        <v>56</v>
      </c>
      <c r="D94" s="180"/>
      <c r="E94" s="180"/>
      <c r="F94" s="180"/>
      <c r="G94" s="181"/>
      <c r="H94" s="51"/>
      <c r="I94" s="12"/>
      <c r="J94" s="51"/>
    </row>
    <row r="95" spans="3:10" ht="33" customHeight="1" x14ac:dyDescent="0.25">
      <c r="C95" s="230" t="s">
        <v>57</v>
      </c>
      <c r="D95" s="231"/>
      <c r="E95" s="231"/>
      <c r="F95" s="231"/>
      <c r="G95" s="232"/>
      <c r="H95" s="51"/>
      <c r="I95" s="12"/>
      <c r="J95" s="35"/>
    </row>
    <row r="96" spans="3:10" ht="15" x14ac:dyDescent="0.2">
      <c r="C96" s="51"/>
      <c r="D96" s="51"/>
      <c r="E96" s="51"/>
      <c r="F96" s="51"/>
      <c r="G96" s="51"/>
      <c r="H96" s="51"/>
      <c r="I96" s="12"/>
      <c r="J96" s="62"/>
    </row>
    <row r="97" spans="3:10" ht="15.75" x14ac:dyDescent="0.25">
      <c r="C97" s="179" t="s">
        <v>58</v>
      </c>
      <c r="D97" s="180"/>
      <c r="E97" s="180"/>
      <c r="F97" s="180"/>
      <c r="G97" s="181"/>
      <c r="H97" s="51"/>
      <c r="I97" s="12"/>
      <c r="J97" s="51"/>
    </row>
    <row r="98" spans="3:10" ht="69" customHeight="1" x14ac:dyDescent="0.25">
      <c r="C98" s="225" t="s">
        <v>127</v>
      </c>
      <c r="D98" s="226"/>
      <c r="E98" s="226"/>
      <c r="F98" s="226"/>
      <c r="G98" s="227"/>
      <c r="H98" s="51"/>
      <c r="I98" s="12"/>
      <c r="J98" s="35"/>
    </row>
    <row r="99" spans="3:10" ht="48.75" customHeight="1" x14ac:dyDescent="0.2">
      <c r="C99" s="236" t="s">
        <v>139</v>
      </c>
      <c r="D99" s="237"/>
      <c r="E99" s="237"/>
      <c r="F99" s="237"/>
      <c r="G99" s="238"/>
      <c r="H99" s="51"/>
      <c r="I99" s="12"/>
      <c r="J99" s="62"/>
    </row>
    <row r="100" spans="3:10" ht="15" x14ac:dyDescent="0.2">
      <c r="C100" s="51"/>
      <c r="D100" s="51"/>
      <c r="E100" s="51"/>
      <c r="F100" s="51"/>
      <c r="G100" s="51"/>
      <c r="H100" s="51"/>
      <c r="I100" s="12"/>
      <c r="J100" s="62"/>
    </row>
    <row r="101" spans="3:10" ht="15.75" customHeight="1" x14ac:dyDescent="0.25">
      <c r="C101" s="179" t="s">
        <v>59</v>
      </c>
      <c r="D101" s="180"/>
      <c r="E101" s="180"/>
      <c r="F101" s="180"/>
      <c r="G101" s="181"/>
      <c r="H101" s="51"/>
      <c r="I101" s="12"/>
      <c r="J101" s="51"/>
    </row>
    <row r="102" spans="3:10" ht="33" customHeight="1" x14ac:dyDescent="0.25">
      <c r="C102" s="239" t="s">
        <v>146</v>
      </c>
      <c r="D102" s="240"/>
      <c r="E102" s="240"/>
      <c r="F102" s="240"/>
      <c r="G102" s="241"/>
      <c r="H102" s="51"/>
      <c r="I102" s="12"/>
      <c r="J102" s="35"/>
    </row>
    <row r="103" spans="3:10" ht="15" x14ac:dyDescent="0.2">
      <c r="C103" s="21"/>
      <c r="D103" s="21"/>
      <c r="E103" s="21"/>
      <c r="F103" s="21"/>
      <c r="G103" s="21"/>
      <c r="H103" s="51"/>
      <c r="I103" s="12"/>
      <c r="J103" s="25"/>
    </row>
    <row r="104" spans="3:10" ht="15.75" customHeight="1" x14ac:dyDescent="0.25">
      <c r="C104" s="179" t="s">
        <v>60</v>
      </c>
      <c r="D104" s="180"/>
      <c r="E104" s="180"/>
      <c r="F104" s="180"/>
      <c r="G104" s="181"/>
      <c r="H104" s="51"/>
      <c r="I104" s="12"/>
      <c r="J104" s="21"/>
    </row>
    <row r="105" spans="3:10" ht="15.75" x14ac:dyDescent="0.25">
      <c r="C105" s="148" t="str">
        <f>"- A minimum investment amount of "&amp;TEXT($K$4,"[$R-en-ZA]* #,##0.00")&amp;" per policy applies."</f>
        <v>- A minimum investment amount of R100,000.00 per policy applies.</v>
      </c>
      <c r="D105" s="111"/>
      <c r="E105" s="111"/>
      <c r="F105" s="111"/>
      <c r="G105" s="149"/>
      <c r="H105" s="51"/>
      <c r="I105" s="12"/>
      <c r="J105" s="35"/>
    </row>
    <row r="106" spans="3:10" ht="31.5" customHeight="1" x14ac:dyDescent="0.2">
      <c r="C106" s="242"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200.00%.</v>
      </c>
      <c r="D106" s="243"/>
      <c r="E106" s="243"/>
      <c r="F106" s="243"/>
      <c r="G106" s="244"/>
      <c r="H106" s="51"/>
      <c r="I106" s="12"/>
      <c r="J106" s="34"/>
    </row>
    <row r="107" spans="3:10" ht="15" x14ac:dyDescent="0.2">
      <c r="C107" s="242" t="str">
        <f>"- Once a policy has been surrendered it cannot be reinstated."</f>
        <v>- Once a policy has been surrendered it cannot be reinstated.</v>
      </c>
      <c r="D107" s="243"/>
      <c r="E107" s="243"/>
      <c r="F107" s="243"/>
      <c r="G107" s="244"/>
      <c r="H107" s="51"/>
      <c r="I107" s="12"/>
      <c r="J107" s="21"/>
    </row>
    <row r="108" spans="3:10" ht="15" x14ac:dyDescent="0.2">
      <c r="C108" s="242" t="str">
        <f>"- No additional investments will be allowed once the policy has been issued."</f>
        <v>- No additional investments will be allowed once the policy has been issued.</v>
      </c>
      <c r="D108" s="243"/>
      <c r="E108" s="243"/>
      <c r="F108" s="243"/>
      <c r="G108" s="244"/>
      <c r="H108" s="51"/>
      <c r="I108" s="12"/>
      <c r="J108" s="21"/>
    </row>
    <row r="109" spans="3:10" ht="15" x14ac:dyDescent="0.2">
      <c r="C109" s="245" t="str">
        <f>"- Commission to the adviser cannot be clawed back after the cooling off period."</f>
        <v>- Commission to the adviser cannot be clawed back after the cooling off period.</v>
      </c>
      <c r="D109" s="246"/>
      <c r="E109" s="246"/>
      <c r="F109" s="246"/>
      <c r="G109" s="247"/>
      <c r="H109" s="51"/>
      <c r="I109" s="12"/>
      <c r="J109" s="21"/>
    </row>
    <row r="110" spans="3:10" ht="15" x14ac:dyDescent="0.2">
      <c r="C110" s="51"/>
      <c r="D110" s="51"/>
      <c r="E110" s="51"/>
      <c r="F110" s="51"/>
      <c r="G110" s="51"/>
      <c r="H110" s="51"/>
      <c r="I110" s="12"/>
      <c r="J110" s="21"/>
    </row>
    <row r="111" spans="3:10" ht="15.75" x14ac:dyDescent="0.25">
      <c r="C111" s="179" t="s">
        <v>61</v>
      </c>
      <c r="D111" s="180"/>
      <c r="E111" s="180"/>
      <c r="F111" s="180"/>
      <c r="G111" s="181"/>
      <c r="H111" s="51"/>
      <c r="I111" s="12"/>
      <c r="J111" s="51"/>
    </row>
    <row r="112" spans="3:10" ht="84.75" customHeight="1" x14ac:dyDescent="0.25">
      <c r="C112" s="230" t="s">
        <v>130</v>
      </c>
      <c r="D112" s="231"/>
      <c r="E112" s="231"/>
      <c r="F112" s="231"/>
      <c r="G112" s="232"/>
      <c r="H112" s="51"/>
      <c r="I112" s="12"/>
      <c r="J112" s="35"/>
    </row>
    <row r="113" spans="3:10" ht="15" x14ac:dyDescent="0.2">
      <c r="C113" s="51"/>
      <c r="D113" s="51"/>
      <c r="E113" s="51"/>
      <c r="F113" s="51"/>
      <c r="G113" s="51"/>
      <c r="H113" s="51"/>
      <c r="I113" s="12"/>
      <c r="J113" s="62"/>
    </row>
    <row r="114" spans="3:10" ht="15.75" customHeight="1" x14ac:dyDescent="0.25">
      <c r="C114" s="179" t="s">
        <v>62</v>
      </c>
      <c r="D114" s="180"/>
      <c r="E114" s="180"/>
      <c r="F114" s="180"/>
      <c r="G114" s="181"/>
      <c r="H114" s="51"/>
      <c r="I114" s="12"/>
      <c r="J114" s="51"/>
    </row>
    <row r="115" spans="3:10" ht="33" customHeight="1" x14ac:dyDescent="0.25">
      <c r="C115" s="225" t="s">
        <v>63</v>
      </c>
      <c r="D115" s="226"/>
      <c r="E115" s="226"/>
      <c r="F115" s="226"/>
      <c r="G115" s="227"/>
      <c r="H115" s="51"/>
      <c r="I115" s="12"/>
      <c r="J115" s="35"/>
    </row>
    <row r="116" spans="3:10" ht="15" x14ac:dyDescent="0.2">
      <c r="C116" s="228" t="s">
        <v>64</v>
      </c>
      <c r="D116" s="229"/>
      <c r="E116" s="229"/>
      <c r="F116" s="229"/>
      <c r="G116" s="150"/>
      <c r="H116" s="51"/>
      <c r="I116" s="12"/>
      <c r="J116" s="62"/>
    </row>
    <row r="117" spans="3:10" ht="15" x14ac:dyDescent="0.2">
      <c r="C117" s="151" t="str">
        <f>" - the charges of the new investment"</f>
        <v xml:space="preserve"> - the charges of the new investment</v>
      </c>
      <c r="D117" s="114"/>
      <c r="E117" s="114"/>
      <c r="F117" s="114"/>
      <c r="G117" s="152"/>
      <c r="H117" s="51"/>
      <c r="I117" s="12"/>
      <c r="J117" s="51"/>
    </row>
    <row r="118" spans="3:10" ht="15" x14ac:dyDescent="0.2">
      <c r="C118" s="151" t="str">
        <f>" - the tax implications"</f>
        <v xml:space="preserve"> - the tax implications</v>
      </c>
      <c r="D118" s="114"/>
      <c r="E118" s="114"/>
      <c r="F118" s="114"/>
      <c r="G118" s="152"/>
      <c r="H118" s="51"/>
      <c r="I118" s="12"/>
      <c r="J118" s="33"/>
    </row>
    <row r="119" spans="3:10" ht="15" x14ac:dyDescent="0.2">
      <c r="C119" s="151" t="str">
        <f>" - the loss of any benefits or guarantees"</f>
        <v xml:space="preserve"> - the loss of any benefits or guarantees</v>
      </c>
      <c r="D119" s="114"/>
      <c r="E119" s="114"/>
      <c r="F119" s="114"/>
      <c r="G119" s="152"/>
      <c r="H119" s="51"/>
      <c r="I119" s="12"/>
      <c r="J119" s="33"/>
    </row>
    <row r="120" spans="3:10" ht="15" x14ac:dyDescent="0.2">
      <c r="C120" s="153" t="str">
        <f>" - differences in the ability to access your funds"</f>
        <v xml:space="preserve"> - differences in the ability to access your funds</v>
      </c>
      <c r="D120" s="117"/>
      <c r="E120" s="117"/>
      <c r="F120" s="117"/>
      <c r="G120" s="154"/>
      <c r="H120" s="51"/>
      <c r="I120" s="12"/>
      <c r="J120" s="33"/>
    </row>
    <row r="121" spans="3:10" ht="15" x14ac:dyDescent="0.2">
      <c r="C121" s="63"/>
      <c r="D121" s="33"/>
      <c r="E121" s="33"/>
      <c r="F121" s="33"/>
      <c r="G121" s="33"/>
      <c r="H121" s="51"/>
      <c r="I121" s="33"/>
      <c r="J121" s="33"/>
    </row>
    <row r="122" spans="3:10" ht="15.75" customHeight="1" x14ac:dyDescent="0.25">
      <c r="C122" s="179" t="s">
        <v>65</v>
      </c>
      <c r="D122" s="180"/>
      <c r="E122" s="180"/>
      <c r="F122" s="180"/>
      <c r="G122" s="181"/>
      <c r="H122" s="51"/>
      <c r="I122" s="51"/>
      <c r="J122" s="33"/>
    </row>
    <row r="123" spans="3:10" ht="81" customHeight="1" x14ac:dyDescent="0.25">
      <c r="C123" s="230" t="s">
        <v>66</v>
      </c>
      <c r="D123" s="231"/>
      <c r="E123" s="231"/>
      <c r="F123" s="231"/>
      <c r="G123" s="232"/>
      <c r="H123" s="51"/>
      <c r="I123" s="51"/>
      <c r="J123" s="35"/>
    </row>
    <row r="124" spans="3:10" ht="15" x14ac:dyDescent="0.2">
      <c r="C124" s="64"/>
      <c r="D124" s="65"/>
      <c r="E124" s="65"/>
      <c r="F124" s="65"/>
      <c r="G124" s="66"/>
      <c r="H124" s="51"/>
      <c r="I124" s="51"/>
      <c r="J124" s="62"/>
    </row>
    <row r="125" spans="3:10" ht="15.75" x14ac:dyDescent="0.2">
      <c r="C125" s="155" t="s">
        <v>67</v>
      </c>
      <c r="D125" s="155" t="s">
        <v>68</v>
      </c>
      <c r="E125" s="156" t="s">
        <v>69</v>
      </c>
      <c r="F125" s="155" t="s">
        <v>70</v>
      </c>
      <c r="G125" s="156" t="s">
        <v>71</v>
      </c>
      <c r="H125" s="51"/>
      <c r="I125" s="51"/>
      <c r="J125" s="67"/>
    </row>
    <row r="126" spans="3:10" ht="15.75" x14ac:dyDescent="0.2">
      <c r="C126" s="157" t="s">
        <v>72</v>
      </c>
      <c r="D126" s="158">
        <f>Input!$C$42/1</f>
        <v>2.3E-2</v>
      </c>
      <c r="E126" s="159">
        <f>Input!$C$42/3</f>
        <v>7.6666666666666662E-3</v>
      </c>
      <c r="F126" s="158">
        <f>Input!$C$42/5</f>
        <v>4.5999999999999999E-3</v>
      </c>
      <c r="G126" s="159">
        <f>Input!$C$42/5</f>
        <v>4.5999999999999999E-3</v>
      </c>
      <c r="H126" s="51"/>
      <c r="I126" s="51"/>
      <c r="J126" s="68"/>
    </row>
    <row r="127" spans="3:10" ht="15" x14ac:dyDescent="0.2">
      <c r="C127" s="130" t="s">
        <v>73</v>
      </c>
      <c r="D127" s="160">
        <f>Input!$C$41</f>
        <v>1.4999999999999999E-2</v>
      </c>
      <c r="E127" s="159">
        <f>Input!$C$41/3</f>
        <v>5.0000000000000001E-3</v>
      </c>
      <c r="F127" s="160">
        <f>Input!$C$41/5</f>
        <v>3.0000000000000001E-3</v>
      </c>
      <c r="G127" s="159">
        <f>Input!$C$41/5</f>
        <v>3.0000000000000001E-3</v>
      </c>
      <c r="H127" s="51"/>
      <c r="I127" s="51"/>
      <c r="J127" s="69"/>
    </row>
    <row r="128" spans="3:10" ht="15" x14ac:dyDescent="0.2">
      <c r="C128" s="130" t="s">
        <v>74</v>
      </c>
      <c r="D128" s="160">
        <f>Input!C40</f>
        <v>0.01</v>
      </c>
      <c r="E128" s="159">
        <f>Input!$C$40/3</f>
        <v>3.3333333333333335E-3</v>
      </c>
      <c r="F128" s="160">
        <f>Input!$C$40/5</f>
        <v>2E-3</v>
      </c>
      <c r="G128" s="159">
        <f>Input!$C$40/5</f>
        <v>2E-3</v>
      </c>
      <c r="H128" s="51"/>
      <c r="I128" s="51"/>
      <c r="J128" s="69"/>
    </row>
    <row r="129" spans="3:10" ht="15.75" x14ac:dyDescent="0.25">
      <c r="C129" s="161" t="s">
        <v>75</v>
      </c>
      <c r="D129" s="162">
        <f>SUM(D126:D128)</f>
        <v>4.8000000000000001E-2</v>
      </c>
      <c r="E129" s="163">
        <f>SUM(E126:E128)</f>
        <v>1.6E-2</v>
      </c>
      <c r="F129" s="162">
        <f>SUM(F126:F128)</f>
        <v>9.6000000000000009E-3</v>
      </c>
      <c r="G129" s="163">
        <f>SUM(G126:G128)</f>
        <v>9.6000000000000009E-3</v>
      </c>
      <c r="H129" s="51"/>
      <c r="I129" s="51"/>
      <c r="J129" s="69"/>
    </row>
    <row r="130" spans="3:10" ht="16.5" customHeight="1" x14ac:dyDescent="0.25">
      <c r="C130" s="219" t="s">
        <v>76</v>
      </c>
      <c r="D130" s="220"/>
      <c r="E130" s="220"/>
      <c r="F130" s="220"/>
      <c r="G130" s="221"/>
      <c r="H130" s="51"/>
      <c r="I130" s="21"/>
      <c r="J130" s="70"/>
    </row>
    <row r="131" spans="3:10" ht="32.25" customHeight="1" x14ac:dyDescent="0.2">
      <c r="C131" s="233" t="s">
        <v>147</v>
      </c>
      <c r="D131" s="234"/>
      <c r="E131" s="234"/>
      <c r="F131" s="234"/>
      <c r="G131" s="235"/>
      <c r="H131" s="51"/>
      <c r="I131" s="51"/>
      <c r="J131" s="21"/>
    </row>
    <row r="132" spans="3:10" ht="17.25" customHeight="1" x14ac:dyDescent="0.2">
      <c r="C132" s="219" t="s">
        <v>77</v>
      </c>
      <c r="D132" s="220"/>
      <c r="E132" s="220"/>
      <c r="F132" s="220"/>
      <c r="G132" s="221"/>
      <c r="H132" s="51"/>
      <c r="I132" s="21"/>
      <c r="J132" s="51"/>
    </row>
    <row r="133" spans="3:10" ht="15.75" customHeight="1" x14ac:dyDescent="0.2">
      <c r="C133" s="222" t="s">
        <v>78</v>
      </c>
      <c r="D133" s="223"/>
      <c r="E133" s="223"/>
      <c r="F133" s="223"/>
      <c r="G133" s="224"/>
      <c r="H133" s="71">
        <v>1</v>
      </c>
      <c r="I133" s="21"/>
      <c r="J133" s="21"/>
    </row>
    <row r="134" spans="3:10" ht="15" x14ac:dyDescent="0.2">
      <c r="C134" s="72"/>
      <c r="D134" s="72"/>
      <c r="E134" s="72"/>
      <c r="F134" s="72"/>
      <c r="G134" s="72"/>
      <c r="H134" s="72"/>
      <c r="I134" s="72"/>
      <c r="J134" s="21"/>
    </row>
    <row r="135" spans="3:10" x14ac:dyDescent="0.2">
      <c r="J135" s="72"/>
    </row>
  </sheetData>
  <sheetProtection algorithmName="SHA-512" hashValue="SJtk8zHLgxLocFjWrnw/HSAxIxSa6UsbsP+1uQznTVSDQRVBNGhPEBncM+HtZqSajldwALzAnGaXYPrBywOS2Q==" saltValue="WZhrA0cBOh0PMuvEIIKJxQ==" spinCount="100000" sheet="1" selectLockedCells="1"/>
  <mergeCells count="60">
    <mergeCell ref="C14:G14"/>
    <mergeCell ref="C6:G6"/>
    <mergeCell ref="C7:G7"/>
    <mergeCell ref="C9:G9"/>
    <mergeCell ref="C11:G11"/>
    <mergeCell ref="C12:G12"/>
    <mergeCell ref="C64:G64"/>
    <mergeCell ref="C16:G16"/>
    <mergeCell ref="C24:G24"/>
    <mergeCell ref="C30:G30"/>
    <mergeCell ref="C33:G33"/>
    <mergeCell ref="C39:G39"/>
    <mergeCell ref="C41:G41"/>
    <mergeCell ref="C55:G55"/>
    <mergeCell ref="C61:G61"/>
    <mergeCell ref="C62:G62"/>
    <mergeCell ref="C63:G63"/>
    <mergeCell ref="C76:G76"/>
    <mergeCell ref="C65:G65"/>
    <mergeCell ref="C66:G66"/>
    <mergeCell ref="C67:G67"/>
    <mergeCell ref="C68:G68"/>
    <mergeCell ref="C69:G69"/>
    <mergeCell ref="C70:G70"/>
    <mergeCell ref="C71:G71"/>
    <mergeCell ref="C72:G72"/>
    <mergeCell ref="C73:G73"/>
    <mergeCell ref="C75:G75"/>
    <mergeCell ref="C97:G97"/>
    <mergeCell ref="F78:G78"/>
    <mergeCell ref="F79:G79"/>
    <mergeCell ref="F80:G80"/>
    <mergeCell ref="F81:G81"/>
    <mergeCell ref="C83:G83"/>
    <mergeCell ref="C84:G84"/>
    <mergeCell ref="C85:G85"/>
    <mergeCell ref="C87:G87"/>
    <mergeCell ref="C88:G88"/>
    <mergeCell ref="C94:G94"/>
    <mergeCell ref="C95:G95"/>
    <mergeCell ref="C114:G114"/>
    <mergeCell ref="C98:G98"/>
    <mergeCell ref="C99:G99"/>
    <mergeCell ref="C101:G101"/>
    <mergeCell ref="C102:G102"/>
    <mergeCell ref="C104:G104"/>
    <mergeCell ref="C106:G106"/>
    <mergeCell ref="C107:G107"/>
    <mergeCell ref="C108:G108"/>
    <mergeCell ref="C109:G109"/>
    <mergeCell ref="C111:G111"/>
    <mergeCell ref="C112:G112"/>
    <mergeCell ref="C132:G132"/>
    <mergeCell ref="C133:G133"/>
    <mergeCell ref="C115:G115"/>
    <mergeCell ref="C116:F116"/>
    <mergeCell ref="C122:G122"/>
    <mergeCell ref="C123:G123"/>
    <mergeCell ref="C130:G130"/>
    <mergeCell ref="C131:G131"/>
  </mergeCells>
  <pageMargins left="0.7" right="0.7" top="0.75" bottom="0.75" header="0.3" footer="0.3"/>
  <pageSetup scale="67" orientation="portrait" r:id="rId1"/>
  <rowBreaks count="2" manualBreakCount="2">
    <brk id="59" max="7" man="1"/>
    <brk id="87" max="8"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6</xdr:col>
                    <xdr:colOff>885825</xdr:colOff>
                    <xdr:row>51</xdr:row>
                    <xdr:rowOff>0</xdr:rowOff>
                  </from>
                  <to>
                    <xdr:col>6</xdr:col>
                    <xdr:colOff>1704975</xdr:colOff>
                    <xdr:row>52</xdr:row>
                    <xdr:rowOff>9525</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6</xdr:col>
                    <xdr:colOff>885825</xdr:colOff>
                    <xdr:row>52</xdr:row>
                    <xdr:rowOff>85725</xdr:rowOff>
                  </from>
                  <to>
                    <xdr:col>6</xdr:col>
                    <xdr:colOff>1695450</xdr:colOff>
                    <xdr:row>53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vt:lpstr>
      <vt:lpstr>Output</vt:lpstr>
      <vt:lpstr>Input!Print_Area</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Snenhlanhla Mkhize (ZA)</cp:lastModifiedBy>
  <dcterms:created xsi:type="dcterms:W3CDTF">2021-04-09T15:15:28Z</dcterms:created>
  <dcterms:modified xsi:type="dcterms:W3CDTF">2024-11-15T11:05:17Z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8f6f86f4-9b7f-47ed-a156-c4b2e41f953c</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2024-06-10T11:15:12Z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fd1d59d8-4c16-4d6e-aa82-f8a09038cd26</vt:lpwstr>
  </property>
  <property fmtid="{D5CDD505-2E9C-101B-9397-08002B2CF9AE}" pid="14" name="MSIP_Label_c698089a-dfcd-47e0-b4db-0c235cc9ffc9_ContentBits">
    <vt:lpwstr>0</vt:lpwstr>
  </property>
</Properties>
</file>